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105" yWindow="-105" windowWidth="20730" windowHeight="11760" tabRatio="923" activeTab="9"/>
  </bookViews>
  <sheets>
    <sheet name="Budget Sheet" sheetId="1" r:id="rId1"/>
    <sheet name="HR" sheetId="12" r:id="rId2"/>
    <sheet name="Abstract" sheetId="8" r:id="rId3"/>
    <sheet name="SOE for Last 3 Years" sheetId="6" r:id="rId4"/>
    <sheet name="Planned Activities FY 2021-22" sheetId="5" r:id="rId5"/>
    <sheet name="Organisation of Services" sheetId="7" r:id="rId6"/>
    <sheet name="PPM Annexure" sheetId="13" r:id="rId7"/>
    <sheet name="Training Plan" sheetId="3" r:id="rId8"/>
    <sheet name="ACF" sheetId="4" r:id="rId9"/>
    <sheet name="ACSM Plan" sheetId="9" r:id="rId10"/>
  </sheets>
  <externalReferences>
    <externalReference r:id="rId11"/>
  </externalReferences>
  <definedNames>
    <definedName name="_xlnm._FilterDatabase" localSheetId="0" hidden="1">'Budget Sheet'!#REF!</definedName>
    <definedName name="_xlnm._FilterDatabase" localSheetId="1" hidden="1">HR!$W$20:$W$23</definedName>
    <definedName name="_xlnm.Print_Titles" localSheetId="0">'Budget Sheet'!$1:$1</definedName>
    <definedName name="_xlnm.Print_Titles" localSheetId="1">HR!$1:$1</definedName>
    <definedName name="_xlnm.Print_Titles" localSheetId="5">'Organisation of Services'!$B:$B</definedName>
  </definedNames>
  <calcPr calcId="124519"/>
  <extLst xmlns:x15="http://schemas.microsoft.com/office/spreadsheetml/2010/11/main">
    <ext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39" i="3"/>
  <c r="D42"/>
  <c r="E42"/>
  <c r="F42"/>
  <c r="G42"/>
  <c r="I42"/>
  <c r="H11" i="13"/>
  <c r="G11"/>
  <c r="F11"/>
  <c r="E11"/>
  <c r="D11"/>
  <c r="C11"/>
  <c r="B11"/>
  <c r="H10"/>
  <c r="F10"/>
  <c r="E10"/>
  <c r="D10"/>
  <c r="H9"/>
  <c r="G9"/>
  <c r="G13" s="1"/>
  <c r="F9"/>
  <c r="E9"/>
  <c r="D9"/>
  <c r="C9"/>
  <c r="B9"/>
  <c r="H8"/>
  <c r="G8"/>
  <c r="F8"/>
  <c r="E8"/>
  <c r="D8"/>
  <c r="C8"/>
  <c r="B8"/>
  <c r="H6"/>
  <c r="G6"/>
  <c r="F6"/>
  <c r="E6"/>
  <c r="D6"/>
  <c r="C6"/>
  <c r="B6"/>
  <c r="H5"/>
  <c r="G5"/>
  <c r="F5"/>
  <c r="E5"/>
  <c r="D5"/>
  <c r="C5"/>
  <c r="B5"/>
  <c r="H13" l="1"/>
  <c r="B13"/>
  <c r="D13"/>
  <c r="F13"/>
  <c r="C13"/>
  <c r="E13"/>
  <c r="O10" i="4"/>
  <c r="N10"/>
  <c r="M10"/>
  <c r="L10"/>
  <c r="K10"/>
  <c r="I10"/>
  <c r="G10"/>
  <c r="F10"/>
  <c r="C10"/>
  <c r="J9"/>
  <c r="H9"/>
  <c r="E9"/>
  <c r="P9" s="1"/>
  <c r="J8"/>
  <c r="H8"/>
  <c r="E8"/>
  <c r="P8" s="1"/>
  <c r="J7"/>
  <c r="H7"/>
  <c r="E7"/>
  <c r="P7" s="1"/>
  <c r="J6"/>
  <c r="H6"/>
  <c r="E6"/>
  <c r="P6" s="1"/>
  <c r="J5"/>
  <c r="J10" s="1"/>
  <c r="H5"/>
  <c r="H10" s="1"/>
  <c r="E5"/>
  <c r="P5" s="1"/>
  <c r="E4"/>
  <c r="E10" s="1"/>
  <c r="D4"/>
  <c r="D10" s="1"/>
  <c r="C4"/>
  <c r="P4" s="1"/>
  <c r="AI19" i="7"/>
  <c r="AG19"/>
  <c r="AE19"/>
  <c r="AD19"/>
  <c r="V19"/>
  <c r="W19" s="1"/>
  <c r="T19"/>
  <c r="U19" s="1"/>
  <c r="R19"/>
  <c r="Q19"/>
  <c r="P19"/>
  <c r="O19"/>
  <c r="N19"/>
  <c r="M19"/>
  <c r="L19"/>
  <c r="K19"/>
  <c r="J19"/>
  <c r="I19"/>
  <c r="H19"/>
  <c r="G19"/>
  <c r="F19"/>
  <c r="E19"/>
  <c r="D19"/>
  <c r="C19"/>
  <c r="AD18"/>
  <c r="AA18"/>
  <c r="X18"/>
  <c r="AH18" s="1"/>
  <c r="W18"/>
  <c r="U18"/>
  <c r="Y18" s="1"/>
  <c r="AD17"/>
  <c r="AA17"/>
  <c r="X17"/>
  <c r="AH17" s="1"/>
  <c r="W17"/>
  <c r="U17"/>
  <c r="Y17" s="1"/>
  <c r="AD16"/>
  <c r="AA16"/>
  <c r="X16"/>
  <c r="AH16" s="1"/>
  <c r="W16"/>
  <c r="U16"/>
  <c r="Y16" s="1"/>
  <c r="AD15"/>
  <c r="AA15"/>
  <c r="X15"/>
  <c r="AH15" s="1"/>
  <c r="W15"/>
  <c r="U15"/>
  <c r="Y15" s="1"/>
  <c r="AD14"/>
  <c r="AA14"/>
  <c r="X14"/>
  <c r="AH14" s="1"/>
  <c r="W14"/>
  <c r="U14"/>
  <c r="Y14" s="1"/>
  <c r="AD13"/>
  <c r="AA13"/>
  <c r="X13"/>
  <c r="AH13" s="1"/>
  <c r="W13"/>
  <c r="U13"/>
  <c r="Y13" s="1"/>
  <c r="AD12"/>
  <c r="AA12"/>
  <c r="X12"/>
  <c r="AH12" s="1"/>
  <c r="W12"/>
  <c r="U12"/>
  <c r="Y12" s="1"/>
  <c r="AD11"/>
  <c r="AA11"/>
  <c r="X11"/>
  <c r="AH11" s="1"/>
  <c r="W11"/>
  <c r="U11"/>
  <c r="Y11" s="1"/>
  <c r="AD10"/>
  <c r="AA10"/>
  <c r="X10"/>
  <c r="AH10" s="1"/>
  <c r="W10"/>
  <c r="U10"/>
  <c r="Y10" s="1"/>
  <c r="AD9"/>
  <c r="AA9"/>
  <c r="X9"/>
  <c r="AH9" s="1"/>
  <c r="W9"/>
  <c r="U9"/>
  <c r="Y9" s="1"/>
  <c r="AD8"/>
  <c r="AA8"/>
  <c r="X8"/>
  <c r="AH8" s="1"/>
  <c r="W8"/>
  <c r="U8"/>
  <c r="Y8" s="1"/>
  <c r="AD7"/>
  <c r="AA7"/>
  <c r="X7"/>
  <c r="AH7" s="1"/>
  <c r="W7"/>
  <c r="U7"/>
  <c r="Y7" s="1"/>
  <c r="AD6"/>
  <c r="AA6"/>
  <c r="X6"/>
  <c r="AH6" s="1"/>
  <c r="W6"/>
  <c r="U6"/>
  <c r="Y6" s="1"/>
  <c r="I25" i="6"/>
  <c r="E25"/>
  <c r="D25"/>
  <c r="I23"/>
  <c r="H23"/>
  <c r="H25" s="1"/>
  <c r="E23"/>
  <c r="D23"/>
  <c r="G22"/>
  <c r="G21"/>
  <c r="G20"/>
  <c r="G19"/>
  <c r="G18"/>
  <c r="G17"/>
  <c r="G16"/>
  <c r="G15"/>
  <c r="G14"/>
  <c r="G13"/>
  <c r="G12"/>
  <c r="F12"/>
  <c r="F23" s="1"/>
  <c r="F25" s="1"/>
  <c r="G11"/>
  <c r="G10"/>
  <c r="G9"/>
  <c r="G8"/>
  <c r="G7"/>
  <c r="G6"/>
  <c r="F6"/>
  <c r="G5"/>
  <c r="G4"/>
  <c r="G23" s="1"/>
  <c r="G25" s="1"/>
  <c r="P191" i="1"/>
  <c r="C8" i="8" s="1"/>
  <c r="P233" i="1"/>
  <c r="V88" i="12"/>
  <c r="W88" s="1"/>
  <c r="P88"/>
  <c r="L88"/>
  <c r="S88" s="1"/>
  <c r="V87"/>
  <c r="P87"/>
  <c r="L87"/>
  <c r="S87" s="1"/>
  <c r="W87" s="1"/>
  <c r="W83"/>
  <c r="W82" s="1"/>
  <c r="V83"/>
  <c r="S83"/>
  <c r="P83"/>
  <c r="P78"/>
  <c r="S78"/>
  <c r="V78"/>
  <c r="W78" s="1"/>
  <c r="W77" s="1"/>
  <c r="V76"/>
  <c r="W76" s="1"/>
  <c r="W75" s="1"/>
  <c r="S76"/>
  <c r="P76"/>
  <c r="L76"/>
  <c r="V66"/>
  <c r="P66"/>
  <c r="L66"/>
  <c r="S66" s="1"/>
  <c r="W66" s="1"/>
  <c r="V65"/>
  <c r="P65"/>
  <c r="L65"/>
  <c r="S65" s="1"/>
  <c r="V64"/>
  <c r="P64"/>
  <c r="L64"/>
  <c r="S64" s="1"/>
  <c r="V55"/>
  <c r="W55" s="1"/>
  <c r="W54" s="1"/>
  <c r="P55"/>
  <c r="L55"/>
  <c r="S55" s="1"/>
  <c r="V52"/>
  <c r="W52" s="1"/>
  <c r="P52"/>
  <c r="L52"/>
  <c r="S52" s="1"/>
  <c r="V51"/>
  <c r="P51"/>
  <c r="L51"/>
  <c r="S51" s="1"/>
  <c r="V50"/>
  <c r="W50" s="1"/>
  <c r="S50"/>
  <c r="P50"/>
  <c r="L50"/>
  <c r="V49"/>
  <c r="W49" s="1"/>
  <c r="S49"/>
  <c r="P49"/>
  <c r="L49"/>
  <c r="V46"/>
  <c r="P46"/>
  <c r="L46"/>
  <c r="S46" s="1"/>
  <c r="V44"/>
  <c r="P44"/>
  <c r="L44"/>
  <c r="S44" s="1"/>
  <c r="V39"/>
  <c r="W39" s="1"/>
  <c r="S39"/>
  <c r="P39"/>
  <c r="L39"/>
  <c r="V38"/>
  <c r="P38"/>
  <c r="L38"/>
  <c r="S38" s="1"/>
  <c r="V35"/>
  <c r="P35"/>
  <c r="L35"/>
  <c r="S35" s="1"/>
  <c r="V34"/>
  <c r="P34"/>
  <c r="L34"/>
  <c r="S34" s="1"/>
  <c r="V33"/>
  <c r="S33"/>
  <c r="P33"/>
  <c r="L33"/>
  <c r="V32"/>
  <c r="S32"/>
  <c r="P32"/>
  <c r="L32"/>
  <c r="V31"/>
  <c r="P31"/>
  <c r="L31"/>
  <c r="S31" s="1"/>
  <c r="V28"/>
  <c r="P28"/>
  <c r="L28"/>
  <c r="S28" s="1"/>
  <c r="V27"/>
  <c r="W27" s="1"/>
  <c r="S27"/>
  <c r="P27"/>
  <c r="L27"/>
  <c r="V23"/>
  <c r="W23" s="1"/>
  <c r="S23"/>
  <c r="P23"/>
  <c r="V22"/>
  <c r="W22" s="1"/>
  <c r="P22"/>
  <c r="L22"/>
  <c r="S22" s="1"/>
  <c r="V21"/>
  <c r="P21"/>
  <c r="L21"/>
  <c r="S21" s="1"/>
  <c r="V15"/>
  <c r="W15" s="1"/>
  <c r="W14" s="1"/>
  <c r="S15"/>
  <c r="P15"/>
  <c r="L15"/>
  <c r="V19"/>
  <c r="P19"/>
  <c r="L19"/>
  <c r="S19" s="1"/>
  <c r="V18"/>
  <c r="W18" s="1"/>
  <c r="S18"/>
  <c r="P18"/>
  <c r="L18"/>
  <c r="V17"/>
  <c r="W17" s="1"/>
  <c r="P17"/>
  <c r="L17"/>
  <c r="S17" s="1"/>
  <c r="V13"/>
  <c r="W13" s="1"/>
  <c r="P13"/>
  <c r="L13"/>
  <c r="S13" s="1"/>
  <c r="V12"/>
  <c r="P12"/>
  <c r="L12"/>
  <c r="S12" s="1"/>
  <c r="V11"/>
  <c r="W11" s="1"/>
  <c r="S11"/>
  <c r="P11"/>
  <c r="L11"/>
  <c r="V7"/>
  <c r="P7"/>
  <c r="L7"/>
  <c r="S7" s="1"/>
  <c r="I7"/>
  <c r="V6"/>
  <c r="W6" s="1"/>
  <c r="S6"/>
  <c r="P6"/>
  <c r="L6"/>
  <c r="I6"/>
  <c r="V5"/>
  <c r="W5" s="1"/>
  <c r="P5"/>
  <c r="L5"/>
  <c r="S5" s="1"/>
  <c r="I5"/>
  <c r="V4"/>
  <c r="W4" s="1"/>
  <c r="S4"/>
  <c r="P4"/>
  <c r="L4"/>
  <c r="I4"/>
  <c r="P8"/>
  <c r="S8"/>
  <c r="V8"/>
  <c r="W8" s="1"/>
  <c r="P10"/>
  <c r="W10" s="1"/>
  <c r="S10"/>
  <c r="V10"/>
  <c r="P29"/>
  <c r="S29"/>
  <c r="V29"/>
  <c r="W29" s="1"/>
  <c r="P36"/>
  <c r="S36"/>
  <c r="V36"/>
  <c r="W36" s="1"/>
  <c r="P40"/>
  <c r="S40"/>
  <c r="V40"/>
  <c r="W40"/>
  <c r="P42"/>
  <c r="S42"/>
  <c r="V42"/>
  <c r="W42" s="1"/>
  <c r="W41" s="1"/>
  <c r="P47"/>
  <c r="S47"/>
  <c r="V47"/>
  <c r="W47" s="1"/>
  <c r="P53"/>
  <c r="S53"/>
  <c r="V53"/>
  <c r="W53"/>
  <c r="P56"/>
  <c r="S56"/>
  <c r="V56"/>
  <c r="W56" s="1"/>
  <c r="P57"/>
  <c r="S57"/>
  <c r="V57"/>
  <c r="W57" s="1"/>
  <c r="P58"/>
  <c r="S58"/>
  <c r="V58"/>
  <c r="W58" s="1"/>
  <c r="P60"/>
  <c r="S60"/>
  <c r="V60"/>
  <c r="W60" s="1"/>
  <c r="W59" s="1"/>
  <c r="P62"/>
  <c r="S62"/>
  <c r="V62"/>
  <c r="W62" s="1"/>
  <c r="W61" s="1"/>
  <c r="P67"/>
  <c r="W67" s="1"/>
  <c r="S67"/>
  <c r="V67"/>
  <c r="P69"/>
  <c r="S69"/>
  <c r="V69"/>
  <c r="W69" s="1"/>
  <c r="W68" s="1"/>
  <c r="W74"/>
  <c r="W70" s="1"/>
  <c r="P79"/>
  <c r="S79"/>
  <c r="V79"/>
  <c r="W79" s="1"/>
  <c r="P80"/>
  <c r="S80"/>
  <c r="V80"/>
  <c r="W80" s="1"/>
  <c r="P81"/>
  <c r="S81"/>
  <c r="V81"/>
  <c r="W81" s="1"/>
  <c r="P85"/>
  <c r="W85" s="1"/>
  <c r="W84" s="1"/>
  <c r="S85"/>
  <c r="V85"/>
  <c r="P89"/>
  <c r="S89"/>
  <c r="V89"/>
  <c r="W89"/>
  <c r="P261" i="1"/>
  <c r="P262"/>
  <c r="P248"/>
  <c r="P247"/>
  <c r="P236"/>
  <c r="P213"/>
  <c r="P154"/>
  <c r="P31"/>
  <c r="W32" i="12" l="1"/>
  <c r="W31"/>
  <c r="W33"/>
  <c r="P10" i="4"/>
  <c r="Y19" i="7"/>
  <c r="X19"/>
  <c r="AA19" s="1"/>
  <c r="AF6"/>
  <c r="AF7"/>
  <c r="AF8"/>
  <c r="AF9"/>
  <c r="AF10"/>
  <c r="AF11"/>
  <c r="AF12"/>
  <c r="AF13"/>
  <c r="AF14"/>
  <c r="AF15"/>
  <c r="AF16"/>
  <c r="AF17"/>
  <c r="AF18"/>
  <c r="W28" i="12"/>
  <c r="W26" s="1"/>
  <c r="W64"/>
  <c r="W63" s="1"/>
  <c r="W65"/>
  <c r="W51"/>
  <c r="W48" s="1"/>
  <c r="W46"/>
  <c r="W45" s="1"/>
  <c r="W44"/>
  <c r="W43" s="1"/>
  <c r="W38"/>
  <c r="W37" s="1"/>
  <c r="W35"/>
  <c r="W34"/>
  <c r="W21"/>
  <c r="W20" s="1"/>
  <c r="W19"/>
  <c r="W12"/>
  <c r="W9" s="1"/>
  <c r="W7"/>
  <c r="W3" s="1"/>
  <c r="W16"/>
  <c r="W86"/>
  <c r="W30" l="1"/>
  <c r="W25" s="1"/>
  <c r="W24" s="1"/>
  <c r="AH19" i="7"/>
  <c r="AF19"/>
  <c r="W2" i="12"/>
  <c r="C19" i="8"/>
  <c r="C18"/>
  <c r="P357" i="1"/>
  <c r="P355"/>
  <c r="P358"/>
  <c r="P356"/>
  <c r="N358"/>
  <c r="N356"/>
  <c r="C13" i="8"/>
  <c r="P354" i="1"/>
  <c r="N354"/>
  <c r="P322"/>
  <c r="P343"/>
  <c r="P344"/>
  <c r="P345"/>
  <c r="P346"/>
  <c r="P347"/>
  <c r="P348"/>
  <c r="P350"/>
  <c r="N343"/>
  <c r="N344"/>
  <c r="N345"/>
  <c r="N346"/>
  <c r="N347"/>
  <c r="N348"/>
  <c r="N349"/>
  <c r="P349" s="1"/>
  <c r="N350"/>
  <c r="N338"/>
  <c r="N339"/>
  <c r="P329"/>
  <c r="N330"/>
  <c r="P330" s="1"/>
  <c r="N329"/>
  <c r="N326"/>
  <c r="P326" s="1"/>
  <c r="P319"/>
  <c r="N319"/>
  <c r="N323"/>
  <c r="N322"/>
  <c r="N321"/>
  <c r="P321" s="1"/>
  <c r="P318"/>
  <c r="P317"/>
  <c r="N318"/>
  <c r="N317"/>
  <c r="N315"/>
  <c r="P315" s="1"/>
  <c r="N314"/>
  <c r="P314" s="1"/>
  <c r="N312"/>
  <c r="P312" s="1"/>
  <c r="N311"/>
  <c r="P311" s="1"/>
  <c r="N309"/>
  <c r="P309" s="1"/>
  <c r="P301"/>
  <c r="P302"/>
  <c r="P303"/>
  <c r="N306"/>
  <c r="P306" s="1"/>
  <c r="N301"/>
  <c r="N302"/>
  <c r="N303"/>
  <c r="P293"/>
  <c r="P294"/>
  <c r="P295"/>
  <c r="P297"/>
  <c r="N296"/>
  <c r="N297"/>
  <c r="N293"/>
  <c r="N294"/>
  <c r="N295"/>
  <c r="P285"/>
  <c r="P288"/>
  <c r="P289"/>
  <c r="N284"/>
  <c r="P284" s="1"/>
  <c r="N285"/>
  <c r="N286"/>
  <c r="P286" s="1"/>
  <c r="N287"/>
  <c r="P287" s="1"/>
  <c r="N288"/>
  <c r="N289"/>
  <c r="P280"/>
  <c r="P277"/>
  <c r="P278"/>
  <c r="N275"/>
  <c r="P275" s="1"/>
  <c r="N276"/>
  <c r="P276" s="1"/>
  <c r="N277"/>
  <c r="N278"/>
  <c r="N279"/>
  <c r="P279" s="1"/>
  <c r="N280"/>
  <c r="P269"/>
  <c r="P267"/>
  <c r="N269"/>
  <c r="N268"/>
  <c r="P268" s="1"/>
  <c r="N267"/>
  <c r="P265"/>
  <c r="P266"/>
  <c r="N265"/>
  <c r="N266"/>
  <c r="N264"/>
  <c r="P264" s="1"/>
  <c r="P258"/>
  <c r="P259"/>
  <c r="P260"/>
  <c r="N260"/>
  <c r="N259"/>
  <c r="N258"/>
  <c r="N257"/>
  <c r="P255"/>
  <c r="P254"/>
  <c r="N255"/>
  <c r="N254"/>
  <c r="P240"/>
  <c r="N240"/>
  <c r="N237"/>
  <c r="P237" s="1"/>
  <c r="N236"/>
  <c r="N232"/>
  <c r="P232" s="1"/>
  <c r="N230"/>
  <c r="P230" s="1"/>
  <c r="N229"/>
  <c r="P229" s="1"/>
  <c r="P220"/>
  <c r="N222"/>
  <c r="P222" s="1"/>
  <c r="N221"/>
  <c r="P221" s="1"/>
  <c r="N220"/>
  <c r="N219"/>
  <c r="P219" s="1"/>
  <c r="P216"/>
  <c r="N216"/>
  <c r="N215"/>
  <c r="P215" s="1"/>
  <c r="N213"/>
  <c r="N211"/>
  <c r="P211" s="1"/>
  <c r="P207"/>
  <c r="N207"/>
  <c r="N204"/>
  <c r="P204" s="1"/>
  <c r="N203"/>
  <c r="P203" s="1"/>
  <c r="N202"/>
  <c r="P202" s="1"/>
  <c r="N201"/>
  <c r="P201" s="1"/>
  <c r="N197"/>
  <c r="N196"/>
  <c r="P196" s="1"/>
  <c r="N187"/>
  <c r="N189"/>
  <c r="N28"/>
  <c r="N27"/>
  <c r="N182"/>
  <c r="P182" s="1"/>
  <c r="N168"/>
  <c r="P168" s="1"/>
  <c r="N184"/>
  <c r="P184" s="1"/>
  <c r="P183" s="1"/>
  <c r="N177"/>
  <c r="P177" s="1"/>
  <c r="N176"/>
  <c r="P176" s="1"/>
  <c r="N174"/>
  <c r="P174" s="1"/>
  <c r="N173"/>
  <c r="P173" s="1"/>
  <c r="N169"/>
  <c r="P169" s="1"/>
  <c r="N164"/>
  <c r="P164" s="1"/>
  <c r="N163"/>
  <c r="P163" s="1"/>
  <c r="N161"/>
  <c r="P161" s="1"/>
  <c r="N154"/>
  <c r="N153"/>
  <c r="P153" s="1"/>
  <c r="N152"/>
  <c r="P152" s="1"/>
  <c r="N151"/>
  <c r="P151" s="1"/>
  <c r="N150"/>
  <c r="P150" s="1"/>
  <c r="P141"/>
  <c r="N146"/>
  <c r="P146" s="1"/>
  <c r="N145"/>
  <c r="P145" s="1"/>
  <c r="N144"/>
  <c r="P144" s="1"/>
  <c r="N143"/>
  <c r="P143" s="1"/>
  <c r="N142"/>
  <c r="P142" s="1"/>
  <c r="N141"/>
  <c r="N140"/>
  <c r="P140" s="1"/>
  <c r="N139"/>
  <c r="P139" s="1"/>
  <c r="N138"/>
  <c r="P138" s="1"/>
  <c r="N137"/>
  <c r="P137" s="1"/>
  <c r="N136"/>
  <c r="P136" s="1"/>
  <c r="N133"/>
  <c r="P133" s="1"/>
  <c r="N132"/>
  <c r="P132" s="1"/>
  <c r="N131"/>
  <c r="P131" s="1"/>
  <c r="N130"/>
  <c r="P130" s="1"/>
  <c r="N129"/>
  <c r="P129" s="1"/>
  <c r="N128"/>
  <c r="P128" s="1"/>
  <c r="N127"/>
  <c r="P127" s="1"/>
  <c r="N126"/>
  <c r="P126" s="1"/>
  <c r="N125"/>
  <c r="P125" s="1"/>
  <c r="N124"/>
  <c r="P124" s="1"/>
  <c r="N123"/>
  <c r="P123" s="1"/>
  <c r="N122"/>
  <c r="P122" s="1"/>
  <c r="N121"/>
  <c r="P121" s="1"/>
  <c r="N120"/>
  <c r="P120" s="1"/>
  <c r="N119"/>
  <c r="P119" s="1"/>
  <c r="N118"/>
  <c r="P118" s="1"/>
  <c r="N97"/>
  <c r="P97" s="1"/>
  <c r="N96"/>
  <c r="P96" s="1"/>
  <c r="N95"/>
  <c r="P95" s="1"/>
  <c r="N94"/>
  <c r="P94" s="1"/>
  <c r="N93"/>
  <c r="P93" s="1"/>
  <c r="N92"/>
  <c r="P92" s="1"/>
  <c r="N91"/>
  <c r="P91" s="1"/>
  <c r="N90"/>
  <c r="P90" s="1"/>
  <c r="N89"/>
  <c r="P89" s="1"/>
  <c r="N88"/>
  <c r="P88" s="1"/>
  <c r="N87"/>
  <c r="P87" s="1"/>
  <c r="N82"/>
  <c r="P82" s="1"/>
  <c r="N81"/>
  <c r="P81" s="1"/>
  <c r="N80"/>
  <c r="P80" s="1"/>
  <c r="N79"/>
  <c r="P79" s="1"/>
  <c r="N78"/>
  <c r="P78" s="1"/>
  <c r="N77"/>
  <c r="P77" s="1"/>
  <c r="N75"/>
  <c r="P75" s="1"/>
  <c r="N74"/>
  <c r="P74" s="1"/>
  <c r="N72"/>
  <c r="P72" s="1"/>
  <c r="N71"/>
  <c r="P71" s="1"/>
  <c r="N69"/>
  <c r="P69" s="1"/>
  <c r="N68"/>
  <c r="P68" s="1"/>
  <c r="N67"/>
  <c r="P67" s="1"/>
  <c r="N65"/>
  <c r="P65" s="1"/>
  <c r="N61"/>
  <c r="P61" s="1"/>
  <c r="N58"/>
  <c r="P58" s="1"/>
  <c r="N57"/>
  <c r="P57" s="1"/>
  <c r="N56"/>
  <c r="P56" s="1"/>
  <c r="N55"/>
  <c r="P55" s="1"/>
  <c r="N54"/>
  <c r="P54" s="1"/>
  <c r="N53"/>
  <c r="P53" s="1"/>
  <c r="N51"/>
  <c r="P51" s="1"/>
  <c r="N50"/>
  <c r="P50" s="1"/>
  <c r="N49"/>
  <c r="P49" s="1"/>
  <c r="N48"/>
  <c r="P48" s="1"/>
  <c r="N47"/>
  <c r="P47" s="1"/>
  <c r="N38"/>
  <c r="P38" s="1"/>
  <c r="N39"/>
  <c r="P39" s="1"/>
  <c r="N40"/>
  <c r="P40" s="1"/>
  <c r="N41"/>
  <c r="P41" s="1"/>
  <c r="N42"/>
  <c r="N43"/>
  <c r="P43" s="1"/>
  <c r="N44"/>
  <c r="P44" s="1"/>
  <c r="N45"/>
  <c r="P45" s="1"/>
  <c r="N37"/>
  <c r="P37" s="1"/>
  <c r="N31"/>
  <c r="N22"/>
  <c r="P22" s="1"/>
  <c r="N21"/>
  <c r="P21" s="1"/>
  <c r="N30"/>
  <c r="P30" s="1"/>
  <c r="N29"/>
  <c r="P29" s="1"/>
  <c r="P235" l="1"/>
  <c r="P218"/>
  <c r="P155"/>
  <c r="P149" s="1"/>
  <c r="P52"/>
  <c r="P59" s="1"/>
  <c r="P66"/>
  <c r="P178"/>
  <c r="P76"/>
  <c r="P98"/>
  <c r="P42"/>
  <c r="P46" s="1"/>
  <c r="N14"/>
  <c r="N13"/>
  <c r="N10"/>
  <c r="P10" s="1"/>
  <c r="N9"/>
  <c r="N8"/>
  <c r="N7"/>
  <c r="P217" l="1"/>
  <c r="P189"/>
  <c r="P197"/>
  <c r="P257"/>
  <c r="N5" l="1"/>
  <c r="N4"/>
  <c r="P252" l="1"/>
  <c r="P251"/>
  <c r="P250" s="1"/>
  <c r="P249" l="1"/>
  <c r="P246" l="1"/>
  <c r="P244" s="1"/>
  <c r="N160" l="1"/>
  <c r="P160" s="1"/>
  <c r="N73"/>
  <c r="P73" s="1"/>
  <c r="P83" s="1"/>
  <c r="N64"/>
  <c r="P64" s="1"/>
  <c r="N63"/>
  <c r="P63" s="1"/>
  <c r="N62"/>
  <c r="P62" s="1"/>
  <c r="P70" l="1"/>
  <c r="P60" s="1"/>
  <c r="P9"/>
  <c r="P8"/>
  <c r="P7"/>
  <c r="P5"/>
  <c r="P4"/>
  <c r="P328"/>
  <c r="P253"/>
  <c r="P241"/>
  <c r="P231"/>
  <c r="P228"/>
  <c r="P214"/>
  <c r="P209"/>
  <c r="P195"/>
  <c r="P206"/>
  <c r="P162"/>
  <c r="N114"/>
  <c r="P114" s="1"/>
  <c r="N113"/>
  <c r="P113" s="1"/>
  <c r="N112"/>
  <c r="P112" s="1"/>
  <c r="N111"/>
  <c r="P111" s="1"/>
  <c r="N110"/>
  <c r="P110" s="1"/>
  <c r="N109"/>
  <c r="P109" s="1"/>
  <c r="N108"/>
  <c r="P108" s="1"/>
  <c r="N106"/>
  <c r="P106" s="1"/>
  <c r="N105"/>
  <c r="P105" s="1"/>
  <c r="N104"/>
  <c r="P104" s="1"/>
  <c r="N103"/>
  <c r="P103" s="1"/>
  <c r="N102"/>
  <c r="P102" s="1"/>
  <c r="N101"/>
  <c r="P101" s="1"/>
  <c r="N100"/>
  <c r="P100" s="1"/>
  <c r="N25"/>
  <c r="P25" s="1"/>
  <c r="N24"/>
  <c r="P24" s="1"/>
  <c r="P6" l="1"/>
  <c r="P12"/>
  <c r="P11" s="1"/>
  <c r="C3" i="8" s="1"/>
  <c r="P3" i="1"/>
  <c r="P2" l="1"/>
  <c r="C2" i="8" s="1"/>
  <c r="P187" i="1"/>
  <c r="N19"/>
  <c r="N239" l="1"/>
  <c r="P239" s="1"/>
  <c r="P238" s="1"/>
  <c r="P234" s="1"/>
  <c r="N181"/>
  <c r="P181" s="1"/>
  <c r="N158"/>
  <c r="P158" s="1"/>
  <c r="P156" s="1"/>
  <c r="P148" s="1"/>
  <c r="N180"/>
  <c r="P180" s="1"/>
  <c r="N107"/>
  <c r="P107" s="1"/>
  <c r="P323"/>
  <c r="N200"/>
  <c r="P200" s="1"/>
  <c r="P19"/>
  <c r="N199"/>
  <c r="P199" s="1"/>
  <c r="N327"/>
  <c r="P327" s="1"/>
  <c r="N325"/>
  <c r="P325" s="1"/>
  <c r="P296"/>
  <c r="N292"/>
  <c r="P292" s="1"/>
  <c r="N18"/>
  <c r="P18" s="1"/>
  <c r="N17"/>
  <c r="P17" s="1"/>
  <c r="P339"/>
  <c r="P338"/>
  <c r="N283"/>
  <c r="P283" s="1"/>
  <c r="N274"/>
  <c r="P274" s="1"/>
  <c r="N190"/>
  <c r="P190" s="1"/>
  <c r="P188" s="1"/>
  <c r="P28"/>
  <c r="P27"/>
  <c r="N300"/>
  <c r="P300" s="1"/>
  <c r="N308"/>
  <c r="P308" s="1"/>
  <c r="N305"/>
  <c r="P305" s="1"/>
  <c r="N342"/>
  <c r="P342" s="1"/>
  <c r="N227"/>
  <c r="P227" s="1"/>
  <c r="N226"/>
  <c r="P226" s="1"/>
  <c r="P170"/>
  <c r="P134"/>
  <c r="P26" l="1"/>
  <c r="P23" s="1"/>
  <c r="P299"/>
  <c r="P320"/>
  <c r="P290"/>
  <c r="P273"/>
  <c r="P256"/>
  <c r="P243" s="1"/>
  <c r="C14" i="8" s="1"/>
  <c r="C12"/>
  <c r="P225" i="1"/>
  <c r="P198"/>
  <c r="P193" s="1"/>
  <c r="C9" i="8" s="1"/>
  <c r="P179" i="1"/>
  <c r="P186"/>
  <c r="P185" s="1"/>
  <c r="C7" i="8" s="1"/>
  <c r="P166" i="1"/>
  <c r="P165" s="1"/>
  <c r="P208"/>
  <c r="C10" i="8" s="1"/>
  <c r="P115" i="1"/>
  <c r="P85" s="1"/>
  <c r="P351"/>
  <c r="P332" s="1"/>
  <c r="P298"/>
  <c r="P147"/>
  <c r="P116" s="1"/>
  <c r="C15" i="8"/>
  <c r="P223" i="1" l="1"/>
  <c r="C11" i="8" s="1"/>
  <c r="P224" i="1"/>
  <c r="P20"/>
  <c r="P16" s="1"/>
  <c r="P15" s="1"/>
  <c r="C4" i="8" s="1"/>
  <c r="P36" i="1"/>
  <c r="P35" s="1"/>
  <c r="P34" s="1"/>
  <c r="C5" i="8" s="1"/>
  <c r="P281" i="1"/>
  <c r="P194"/>
  <c r="P84"/>
  <c r="C6" i="8" s="1"/>
  <c r="P353" i="1" l="1"/>
  <c r="C17" i="8" s="1"/>
  <c r="N333" i="1"/>
  <c r="P333" s="1"/>
  <c r="N334"/>
  <c r="P334" s="1"/>
  <c r="N335"/>
  <c r="P335"/>
  <c r="N336"/>
  <c r="P336" s="1"/>
  <c r="N337"/>
  <c r="P337" s="1"/>
  <c r="P340" l="1"/>
  <c r="P331" s="1"/>
  <c r="P270" s="1"/>
  <c r="C16" i="8" s="1"/>
  <c r="C20" s="1"/>
</calcChain>
</file>

<file path=xl/sharedStrings.xml><?xml version="1.0" encoding="utf-8"?>
<sst xmlns="http://schemas.openxmlformats.org/spreadsheetml/2006/main" count="1420" uniqueCount="790">
  <si>
    <t>S.no</t>
  </si>
  <si>
    <t>New FMR</t>
  </si>
  <si>
    <t>Old FMR</t>
  </si>
  <si>
    <t>Particulars</t>
  </si>
  <si>
    <t>Pool</t>
  </si>
  <si>
    <t>Programme Division</t>
  </si>
  <si>
    <t>Remarks</t>
  </si>
  <si>
    <t>Unit of Measure</t>
  </si>
  <si>
    <t xml:space="preserve">Unit Cost 
(Rs)  </t>
  </si>
  <si>
    <t xml:space="preserve">Unit Cost
(Rs. Lakhs) </t>
  </si>
  <si>
    <t>Quantity/ Target</t>
  </si>
  <si>
    <t>Budget 
(Rs. Lakhs)</t>
  </si>
  <si>
    <t>Justification</t>
  </si>
  <si>
    <t xml:space="preserve">Service Delivery - Facility Based
</t>
  </si>
  <si>
    <t>H.5</t>
  </si>
  <si>
    <t>Service Delivery - Community Based</t>
  </si>
  <si>
    <t>Community Interventions</t>
  </si>
  <si>
    <t>Honorarium/Counselling Charges</t>
  </si>
  <si>
    <t>Total</t>
  </si>
  <si>
    <t>Infrastructure</t>
  </si>
  <si>
    <t>5.3.14</t>
  </si>
  <si>
    <t>H.1</t>
  </si>
  <si>
    <t>Civil Works</t>
  </si>
  <si>
    <t>Activity</t>
  </si>
  <si>
    <t>State TB Office</t>
  </si>
  <si>
    <t>State TB Training and Demonstration Centre (STDC)</t>
  </si>
  <si>
    <t>SDS</t>
  </si>
  <si>
    <t>IRL</t>
  </si>
  <si>
    <t>District TB Centre</t>
  </si>
  <si>
    <t>Nodal DR TB Centre</t>
  </si>
  <si>
    <t>C&amp;DST Lab (District Level)</t>
  </si>
  <si>
    <t>DDS ( for both 1st and 2nd Line drugs)</t>
  </si>
  <si>
    <t>TB Units</t>
  </si>
  <si>
    <t>DMCs with Smear Microscopy (ZN Staining)</t>
  </si>
  <si>
    <t>Procurement</t>
  </si>
  <si>
    <t>H.17</t>
  </si>
  <si>
    <t>Procurement of Equipment</t>
  </si>
  <si>
    <t>State Level</t>
  </si>
  <si>
    <t>Lab Equipment</t>
  </si>
  <si>
    <t>Computer, modem, scanner, printer, UPS etc</t>
  </si>
  <si>
    <t>Fax machine</t>
  </si>
  <si>
    <t>Photo-copier</t>
  </si>
  <si>
    <t>LCD system with laptop</t>
  </si>
  <si>
    <t>Refrigerator</t>
  </si>
  <si>
    <t>Barcode reading Equipment and software</t>
  </si>
  <si>
    <t>ECG Machine</t>
  </si>
  <si>
    <t>Other (specify)</t>
  </si>
  <si>
    <t>State Total</t>
  </si>
  <si>
    <t>District Level</t>
  </si>
  <si>
    <t>Video Conferencing Unit and arrangements</t>
  </si>
  <si>
    <t>Any Other</t>
  </si>
  <si>
    <t>Equipment Maintenance</t>
  </si>
  <si>
    <t>Binocular Microscopes</t>
  </si>
  <si>
    <t>LED Microscopes</t>
  </si>
  <si>
    <t>IRL Equipments</t>
  </si>
  <si>
    <t>C&amp;DST lab Equipment</t>
  </si>
  <si>
    <t>Laptop &amp; LCD Projector</t>
  </si>
  <si>
    <t>Bar Code Printer</t>
  </si>
  <si>
    <t>Bar code Reading equipment</t>
  </si>
  <si>
    <t>Video Conferencing unit</t>
  </si>
  <si>
    <t>Any Other (Please specify)</t>
  </si>
  <si>
    <t>LED Fluorescent Microscope</t>
  </si>
  <si>
    <t>Laptop</t>
  </si>
  <si>
    <t>LCD Projector</t>
  </si>
  <si>
    <t>District Total</t>
  </si>
  <si>
    <t>H.2</t>
  </si>
  <si>
    <t>H.15</t>
  </si>
  <si>
    <t>Procurement of Drugs</t>
  </si>
  <si>
    <t>Others</t>
  </si>
  <si>
    <t>Any other drugs &amp; supplies (please specify)</t>
  </si>
  <si>
    <t>H.16</t>
  </si>
  <si>
    <t>Procurement of Vehicles</t>
  </si>
  <si>
    <t>New 4 wheeler</t>
  </si>
  <si>
    <t>Replacement  4 wheeler</t>
  </si>
  <si>
    <t>New</t>
  </si>
  <si>
    <t>4 wheeler</t>
  </si>
  <si>
    <t>2 wheeler</t>
  </si>
  <si>
    <t>Replacement</t>
  </si>
  <si>
    <t>H.11</t>
  </si>
  <si>
    <t>Any other (please specify)</t>
  </si>
  <si>
    <t>H.18</t>
  </si>
  <si>
    <t>Patient Support &amp; Transportation Charges</t>
  </si>
  <si>
    <t>Service Delivery - Human Resource</t>
  </si>
  <si>
    <t>B.30.1.4</t>
  </si>
  <si>
    <t>Laboratory Technicians</t>
  </si>
  <si>
    <t>8.1.5</t>
  </si>
  <si>
    <t>B.30.5</t>
  </si>
  <si>
    <t xml:space="preserve">Medical Officers </t>
  </si>
  <si>
    <t>B.30.11.1</t>
  </si>
  <si>
    <t xml:space="preserve">Counsellor </t>
  </si>
  <si>
    <t>B.30.11.7</t>
  </si>
  <si>
    <t>Lab Attendant/ Assistant</t>
  </si>
  <si>
    <t>H.12</t>
  </si>
  <si>
    <t>TBHV</t>
  </si>
  <si>
    <t>B.30.3.7</t>
  </si>
  <si>
    <t>Microbiologists</t>
  </si>
  <si>
    <t>Training &amp; Capacity Building</t>
  </si>
  <si>
    <t>H.6</t>
  </si>
  <si>
    <t>State level</t>
  </si>
  <si>
    <t>H.10</t>
  </si>
  <si>
    <t>CME (Medical Colleges)</t>
  </si>
  <si>
    <t>Faculty Members</t>
  </si>
  <si>
    <t xml:space="preserve">Residents &amp; interns, </t>
  </si>
  <si>
    <t>Nursing Staff</t>
  </si>
  <si>
    <t>Para-medical staff</t>
  </si>
  <si>
    <t>Support to Conferences, symposiums, panel discussions and workshops organized at National and state levels and at level of Medical college</t>
  </si>
  <si>
    <t>Review, Research, Surveillance &amp; Surveys</t>
  </si>
  <si>
    <t>10.2.8</t>
  </si>
  <si>
    <t>H.14</t>
  </si>
  <si>
    <t>Research &amp; Studies &amp; Consultancy</t>
  </si>
  <si>
    <t xml:space="preserve">Number of Operational Research projects planned </t>
  </si>
  <si>
    <t>Number of Operational Research projects planned by the State</t>
  </si>
  <si>
    <t>10.2.9</t>
  </si>
  <si>
    <t>Research for medical colleges</t>
  </si>
  <si>
    <t>Thesis of PG Students</t>
  </si>
  <si>
    <t>Operational Research</t>
  </si>
  <si>
    <t>IEC/ BCC</t>
  </si>
  <si>
    <t>H.4</t>
  </si>
  <si>
    <t>ACSM (State &amp; district)</t>
  </si>
  <si>
    <t>Printing</t>
  </si>
  <si>
    <t>Printing (ACSM)</t>
  </si>
  <si>
    <t>State</t>
  </si>
  <si>
    <t>District</t>
  </si>
  <si>
    <t>H.13</t>
  </si>
  <si>
    <t>Quality Assurance</t>
  </si>
  <si>
    <t>Drug Warehousing &amp; Logistics</t>
  </si>
  <si>
    <t>B.30.1.7/H.12</t>
  </si>
  <si>
    <t>Store Assistant</t>
  </si>
  <si>
    <t>Any other (Please Specify)</t>
  </si>
  <si>
    <t>H.7</t>
  </si>
  <si>
    <t>H.8</t>
  </si>
  <si>
    <t>Vehicle hiring</t>
  </si>
  <si>
    <t>Drug transportation charges</t>
  </si>
  <si>
    <t>First Line Drugs</t>
  </si>
  <si>
    <t>Second Line Drugs</t>
  </si>
  <si>
    <t>CBNAAT Catridges</t>
  </si>
  <si>
    <t xml:space="preserve">Any other </t>
  </si>
  <si>
    <t>PPP</t>
  </si>
  <si>
    <t>H.9</t>
  </si>
  <si>
    <t>PP/NGO Support - District level</t>
  </si>
  <si>
    <t>Public Private Support Agency (PPSA)</t>
  </si>
  <si>
    <t>Programme Management</t>
  </si>
  <si>
    <t>Medical Colleges (Any meetings)</t>
  </si>
  <si>
    <t>Organizational cost for STF Meeting</t>
  </si>
  <si>
    <t>Core Committee meeting cost</t>
  </si>
  <si>
    <t>OR Committee meeting Cost</t>
  </si>
  <si>
    <t>Organization of State OR Workshop</t>
  </si>
  <si>
    <t>Organization of Zonal  OR Workshop</t>
  </si>
  <si>
    <t>Others (specify)</t>
  </si>
  <si>
    <t>H.19</t>
  </si>
  <si>
    <t>Supervision and Monitoring</t>
  </si>
  <si>
    <t>TA of Contractual Staff</t>
  </si>
  <si>
    <t>DA of Contractual Staff</t>
  </si>
  <si>
    <t>TA &amp; DA of STO and other regular staff at State TB Cell for attending the meetings, workshops etc</t>
  </si>
  <si>
    <t>Review meeting expenditure</t>
  </si>
  <si>
    <t>TA &amp; DA of DTO/MODTC for attending the meetings, workshops etc</t>
  </si>
  <si>
    <t>Four wheeler STC</t>
  </si>
  <si>
    <t>Four wheeler STDC</t>
  </si>
  <si>
    <t>Four wheelers DTO</t>
  </si>
  <si>
    <t>Four wheelers MOTC</t>
  </si>
  <si>
    <t>Two-wheelers STS</t>
  </si>
  <si>
    <t>Tribal</t>
  </si>
  <si>
    <t>Non Tribal</t>
  </si>
  <si>
    <t>STLS</t>
  </si>
  <si>
    <t>Distict PPM Coordinator</t>
  </si>
  <si>
    <t>District Senior DOTS plus TB HIV Supervisor</t>
  </si>
  <si>
    <t>For DTO</t>
  </si>
  <si>
    <t>For MOTC</t>
  </si>
  <si>
    <t>Medical Colleges (All service delivery to be budgeted under B.30)</t>
  </si>
  <si>
    <t>Postage, communication, fax, etc</t>
  </si>
  <si>
    <t>Any other (Specify)</t>
  </si>
  <si>
    <t>Office Operation (Miscellaneous)</t>
  </si>
  <si>
    <t>STC level</t>
  </si>
  <si>
    <t>STDC level</t>
  </si>
  <si>
    <t>C&amp;DST lab</t>
  </si>
  <si>
    <t>Stationary</t>
  </si>
  <si>
    <t>Telephone</t>
  </si>
  <si>
    <t>Electricity</t>
  </si>
  <si>
    <t>Review Meeting expenses</t>
  </si>
  <si>
    <t>C&amp;DST Laboratory</t>
  </si>
  <si>
    <t>DRTB Centre</t>
  </si>
  <si>
    <t>Any other</t>
  </si>
  <si>
    <t>Number already present</t>
  </si>
  <si>
    <t>Unit salary for the Existing staff (average)</t>
  </si>
  <si>
    <t xml:space="preserve">Proposed Unit salary for exsting </t>
  </si>
  <si>
    <t>Proposed Unit salary for new positions</t>
  </si>
  <si>
    <t xml:space="preserve">Total  Salary proposed </t>
  </si>
  <si>
    <t>Any other Equipment (Please specify)</t>
  </si>
  <si>
    <t>Office Equipment</t>
  </si>
  <si>
    <t xml:space="preserve">STDC </t>
  </si>
  <si>
    <t>CBNAAT</t>
  </si>
  <si>
    <t xml:space="preserve">Incentive for community volunteers undertaking ACF </t>
  </si>
  <si>
    <t>Procurement of 99 DOTS Sleeves</t>
  </si>
  <si>
    <t>Referral Transport (Previosly known as Patient Support)</t>
  </si>
  <si>
    <t>CME of Private Practitioners may be added under CME</t>
  </si>
  <si>
    <t>Expenditure for State internal evaluation, State Supervisory visit, Joint supervisory visit, OSE visit etc.</t>
  </si>
  <si>
    <t>District levelSupervision and Monitoring activities</t>
  </si>
  <si>
    <t>District Program Coordinator</t>
  </si>
  <si>
    <t>Vehicle Operation (POL &amp; Maintainance)</t>
  </si>
  <si>
    <t>Number of existing partnership options</t>
  </si>
  <si>
    <t>Number of New partnership options</t>
  </si>
  <si>
    <t>Name of District / State</t>
  </si>
  <si>
    <t>No. in the District</t>
  </si>
  <si>
    <t xml:space="preserve">Expenditure (in Rs) planned for current financial year </t>
  </si>
  <si>
    <t>Estimated Expenditure for the next financial year for which plan is being submitted</t>
  </si>
  <si>
    <t>Justification/ remarks</t>
  </si>
  <si>
    <t>Q1</t>
  </si>
  <si>
    <t>Q2</t>
  </si>
  <si>
    <t>Q3</t>
  </si>
  <si>
    <t>Q4</t>
  </si>
  <si>
    <t>(a)</t>
  </si>
  <si>
    <t>(b)</t>
  </si>
  <si>
    <t>( c)</t>
  </si>
  <si>
    <t>(d)</t>
  </si>
  <si>
    <t>(e)</t>
  </si>
  <si>
    <t>(f)</t>
  </si>
  <si>
    <t>Review meetings</t>
  </si>
  <si>
    <t>TOTAL</t>
  </si>
  <si>
    <t>Name of the District</t>
  </si>
  <si>
    <t>Trainings</t>
  </si>
  <si>
    <t>Laboratory materials</t>
  </si>
  <si>
    <t>IEC activities (ACSM)</t>
  </si>
  <si>
    <t>Printing materials for ACF</t>
  </si>
  <si>
    <t>Incentives (Honorarium)</t>
  </si>
  <si>
    <t xml:space="preserve">Section B – List Priority areas at the State level for achieving the objectives planned: </t>
  </si>
  <si>
    <t>S.No.</t>
  </si>
  <si>
    <t>Activity planned under each priority area</t>
  </si>
  <si>
    <t>Priority Districts for Supervision and Monitoring by State  during the next year</t>
  </si>
  <si>
    <t>S No</t>
  </si>
  <si>
    <t>Name of District</t>
  </si>
  <si>
    <t>Reason for inclusion in priority list</t>
  </si>
  <si>
    <t>Priority Areas/Challenges</t>
  </si>
  <si>
    <t>Expected Outcome (measurable) with Timelines for achieving Targets</t>
  </si>
  <si>
    <t>Organization of Services:</t>
  </si>
  <si>
    <t>Organization of TB-HIV &amp; PMDT services:</t>
  </si>
  <si>
    <t>S. No.</t>
  </si>
  <si>
    <t>Population (in Lakhs)</t>
  </si>
  <si>
    <t>No. of TUs</t>
  </si>
  <si>
    <t>No. of DMCs</t>
  </si>
  <si>
    <t xml:space="preserve">Number of ART Centres </t>
  </si>
  <si>
    <t>Number of Link ART Centres</t>
  </si>
  <si>
    <t>Number of ICTCs</t>
  </si>
  <si>
    <t>Number of Facility Integrated ICTCs</t>
  </si>
  <si>
    <t>Number of the DRTB Centre</t>
  </si>
  <si>
    <t>Number of the Culture &amp; DST Laboratory</t>
  </si>
  <si>
    <t>Whether C-DST Lab is accredited</t>
  </si>
  <si>
    <t>Number of patients notified from private sector</t>
  </si>
  <si>
    <t>Annualized TB notification rate from private sector</t>
  </si>
  <si>
    <t>Annualized Total TB case notification rate (including private)</t>
  </si>
  <si>
    <t>Success rate (including private)</t>
  </si>
  <si>
    <t>Govt</t>
  </si>
  <si>
    <t>NGO</t>
  </si>
  <si>
    <t>Public Sector*</t>
  </si>
  <si>
    <t>Private Sector^</t>
  </si>
  <si>
    <t>Sr No.</t>
  </si>
  <si>
    <t>Category of Expenditure</t>
  </si>
  <si>
    <t>Civil works</t>
  </si>
  <si>
    <t>ACSM</t>
  </si>
  <si>
    <t>Equipment maintenance</t>
  </si>
  <si>
    <t>Training</t>
  </si>
  <si>
    <t>Vehicle Operation (POL &amp; maintenance)</t>
  </si>
  <si>
    <t>Public-private Mix (PP/NGO support)</t>
  </si>
  <si>
    <t>Medical Colleges</t>
  </si>
  <si>
    <t>Office operations (Miscellaneous)</t>
  </si>
  <si>
    <t>Contractual services</t>
  </si>
  <si>
    <t>Research, studies &amp; Consultancy</t>
  </si>
  <si>
    <t>Procurement – equipment</t>
  </si>
  <si>
    <t>Patient support &amp; transportation charges</t>
  </si>
  <si>
    <t>Supervision &amp; Monitoring</t>
  </si>
  <si>
    <t>Additionalities under Disease pool fund</t>
  </si>
  <si>
    <t>Grand Total</t>
  </si>
  <si>
    <t>Subtotal  (State Level)</t>
  </si>
  <si>
    <t xml:space="preserve">Procurement of Drug Boxes </t>
  </si>
  <si>
    <t>M</t>
  </si>
  <si>
    <t>S</t>
  </si>
  <si>
    <t>S.N</t>
  </si>
  <si>
    <t>Head</t>
  </si>
  <si>
    <t>Amount Proposed (In Lakhs)</t>
  </si>
  <si>
    <t>Nos. Proposed</t>
  </si>
  <si>
    <t>Nos. Undertaken</t>
  </si>
  <si>
    <t>Community meetings</t>
  </si>
  <si>
    <t>Patient provider meetings</t>
  </si>
  <si>
    <t>School / College-based activities</t>
  </si>
  <si>
    <t>Sensitisation of PPs, NGOs, PRIs etc.</t>
  </si>
  <si>
    <r>
      <rPr>
        <b/>
        <sz val="10"/>
        <rFont val="Arial"/>
        <family val="2"/>
      </rPr>
      <t xml:space="preserve">Outdoor Publicity 
</t>
    </r>
    <r>
      <rPr>
        <sz val="10"/>
        <rFont val="Arial"/>
        <family val="2"/>
      </rPr>
      <t>(Add lines as per requirement to list activity and corresponding budget - e.g. folk, mela, street plays, signages, wall paintings, wall writings, Hoardings, banners, miking, TV/Radio campaign, cost of IEC material development and printing,  etc.)</t>
    </r>
  </si>
  <si>
    <r>
      <rPr>
        <b/>
        <sz val="10"/>
        <rFont val="Arial"/>
        <family val="2"/>
      </rPr>
      <t xml:space="preserve">Others </t>
    </r>
    <r>
      <rPr>
        <sz val="10"/>
        <rFont val="Arial"/>
        <family val="2"/>
      </rPr>
      <t xml:space="preserve">
(Add lines as per requirement to list activities planned and corresponding budget: e.g. joint activity with NHM, partner organizations, any innovation etc.)</t>
    </r>
  </si>
  <si>
    <t>Hand held device for Staff</t>
  </si>
  <si>
    <t>Microbiologist, CDST</t>
  </si>
  <si>
    <t>Microbiologist,IRL</t>
  </si>
  <si>
    <t>Microbiologist, EQA</t>
  </si>
  <si>
    <t>Subtotal (District level)</t>
  </si>
  <si>
    <t>Regular Supervisory visits to districts, EQA visits from STDC</t>
  </si>
  <si>
    <t>Driver for mobile van on hiring basis</t>
  </si>
  <si>
    <t>Helper for mobile van on hiring basis</t>
  </si>
  <si>
    <r>
      <rPr>
        <b/>
        <sz val="10"/>
        <color indexed="8"/>
        <rFont val="Arial"/>
        <family val="2"/>
      </rPr>
      <t xml:space="preserve">World TB Day 
</t>
    </r>
    <r>
      <rPr>
        <sz val="10"/>
        <color indexed="8"/>
        <rFont val="Arial"/>
        <family val="2"/>
      </rPr>
      <t>(Add lines as per requirement to list activities and corresponding budget)</t>
    </r>
  </si>
  <si>
    <t>(Rs. In Lakhs)</t>
  </si>
  <si>
    <t xml:space="preserve">State Level Training </t>
  </si>
  <si>
    <t xml:space="preserve">Pharmasist at District Level </t>
  </si>
  <si>
    <t xml:space="preserve">STS at District Level </t>
  </si>
  <si>
    <t xml:space="preserve">STLS at District Level </t>
  </si>
  <si>
    <t xml:space="preserve">Re-orientation on NIKSHAY </t>
  </si>
  <si>
    <t>-       Sensitization of DMC LTs for sputum collection &amp; transport mechanism for culture &amp; DST</t>
  </si>
  <si>
    <t>-       Orientation / sensitization of nursing staff, cv, pharmacists (school health/ NRHM) etc</t>
  </si>
  <si>
    <t>State Internal Evaluation @ 1.13 Lakhs.</t>
  </si>
  <si>
    <t>2018-19</t>
  </si>
  <si>
    <t>14.2.12</t>
  </si>
  <si>
    <t>14.1.1.2</t>
  </si>
  <si>
    <t>16.1.3.1.13</t>
  </si>
  <si>
    <t>16.1.3.1.14</t>
  </si>
  <si>
    <t>16.1.4.1.10</t>
  </si>
  <si>
    <t>X-ray machine</t>
  </si>
  <si>
    <t>2019-20</t>
  </si>
  <si>
    <t>FY
(2019-20)</t>
  </si>
  <si>
    <t>1.1.5.7</t>
  </si>
  <si>
    <t>1.2.3.2</t>
  </si>
  <si>
    <t xml:space="preserve">H.3.5 </t>
  </si>
  <si>
    <t>Diagnosis and Management under Latent TB Infection Management</t>
  </si>
  <si>
    <t>TB Patient Nutritional Support under Nikshay Poshan Yojana</t>
  </si>
  <si>
    <t>2.3.2.8</t>
  </si>
  <si>
    <t>Screening, referral linkages and follow-up under Latent TB Infection Management</t>
  </si>
  <si>
    <t>Treatment Supporter Honorarium (Rs 1000)</t>
  </si>
  <si>
    <t>Treatment Supporter Honorarium (Rs 5000)</t>
  </si>
  <si>
    <t>Incentive for informant (Rs 500)</t>
  </si>
  <si>
    <t>3.2.3.1.1</t>
  </si>
  <si>
    <t>3.2.3.1.2</t>
  </si>
  <si>
    <t>3.2.3.1.3</t>
  </si>
  <si>
    <t>3.2.3.4</t>
  </si>
  <si>
    <t>Any Other specify</t>
  </si>
  <si>
    <t>Any Other (please specify)</t>
  </si>
  <si>
    <t>Procurement of sleeves and drug boxes</t>
  </si>
  <si>
    <t>7.5.1</t>
  </si>
  <si>
    <t>H.18.1</t>
  </si>
  <si>
    <t>Tribal Patient Support and transportation charges</t>
  </si>
  <si>
    <t>7.5.2</t>
  </si>
  <si>
    <t>8.1.1.5</t>
  </si>
  <si>
    <t>Full time</t>
  </si>
  <si>
    <t>8.1.5.1</t>
  </si>
  <si>
    <t>8.1.13.1</t>
  </si>
  <si>
    <t>8.1.13.11</t>
  </si>
  <si>
    <t>8.1.13.10</t>
  </si>
  <si>
    <t>8.1.3.8</t>
  </si>
  <si>
    <t>Sub-national Disease Free Certification</t>
  </si>
  <si>
    <t>10.5.1</t>
  </si>
  <si>
    <t>Tuberculosis</t>
  </si>
  <si>
    <t>TB Harega Desh Jeetega' Campaign</t>
  </si>
  <si>
    <t>Any other IEC/BCC activities (please specify)</t>
  </si>
  <si>
    <t>Untied Grants</t>
  </si>
  <si>
    <t>14.2.11</t>
  </si>
  <si>
    <t xml:space="preserve">Any Public Private Mix (PP/NGO Support) </t>
  </si>
  <si>
    <t>H.9.2</t>
  </si>
  <si>
    <t xml:space="preserve">Private Provider Incentive </t>
  </si>
  <si>
    <t>Multi-sectoral collaboration activities</t>
  </si>
  <si>
    <t>H.9.1</t>
  </si>
  <si>
    <t>16.1.2.1.21</t>
  </si>
  <si>
    <t>16.1.2.2.13</t>
  </si>
  <si>
    <t>16.1.3.3.12</t>
  </si>
  <si>
    <t>Human Resource</t>
  </si>
  <si>
    <t>State Consultants/ Programme Officers</t>
  </si>
  <si>
    <t xml:space="preserve">
DCP
</t>
  </si>
  <si>
    <t>Medical Officer STC</t>
  </si>
  <si>
    <t>Epidemiologist (APO)</t>
  </si>
  <si>
    <t>TO-Procurement &amp; Logistics</t>
  </si>
  <si>
    <t>ACSM Officer</t>
  </si>
  <si>
    <t>Programme Coordinators</t>
  </si>
  <si>
    <t>TB-HIV Coordinator</t>
  </si>
  <si>
    <t>DR-TB Coordinator</t>
  </si>
  <si>
    <t>PPM Coordinator</t>
  </si>
  <si>
    <t>D.1.b</t>
  </si>
  <si>
    <t>MIS/ IT Staff</t>
  </si>
  <si>
    <t>Data Analyst State</t>
  </si>
  <si>
    <t>Statistical Assistant DR TB centre</t>
  </si>
  <si>
    <t>Supervisors</t>
  </si>
  <si>
    <t>Specify</t>
  </si>
  <si>
    <t>A.10.1.7/ G.3.2.a.ii/ H.12</t>
  </si>
  <si>
    <t>Accounts Staff</t>
  </si>
  <si>
    <t>Accounts Officer/State accountant</t>
  </si>
  <si>
    <t>D.1.c/ G.3.2.a.iii</t>
  </si>
  <si>
    <t>Administrative Staff</t>
  </si>
  <si>
    <t>Secreterial Assistant</t>
  </si>
  <si>
    <t>Data Entry Operation</t>
  </si>
  <si>
    <t>Support Staff (Kindly Specify)</t>
  </si>
  <si>
    <t>Driver</t>
  </si>
  <si>
    <t>Peon</t>
  </si>
  <si>
    <t>Helper</t>
  </si>
  <si>
    <t>Other Staff</t>
  </si>
  <si>
    <t xml:space="preserve">District Consultants/ Programme Officers </t>
  </si>
  <si>
    <t>B1.1.5.2/ O.2.1.2.2</t>
  </si>
  <si>
    <t>District PPM Coordinator</t>
  </si>
  <si>
    <t>District Program Coordinators</t>
  </si>
  <si>
    <t>16.2.2.7</t>
  </si>
  <si>
    <t>G.3.2.b.ii/ H.12</t>
  </si>
  <si>
    <t>STS</t>
  </si>
  <si>
    <t>16.8.2.2.7</t>
  </si>
  <si>
    <t>A.10.2.5/ H.12</t>
  </si>
  <si>
    <t>Accountant</t>
  </si>
  <si>
    <t>A.10.2.7/ H.12</t>
  </si>
  <si>
    <t xml:space="preserve">Support Staff </t>
  </si>
  <si>
    <t xml:space="preserve">Other Staff </t>
  </si>
  <si>
    <t>16.4.1.4.2</t>
  </si>
  <si>
    <t>16.4.1.4.4</t>
  </si>
  <si>
    <t>16.4.1.4.5</t>
  </si>
  <si>
    <t>16.4.1.4.6</t>
  </si>
  <si>
    <t>16.4.1.4.7</t>
  </si>
  <si>
    <t>16.4.1.4.8</t>
  </si>
  <si>
    <t>16.4.1.4.9</t>
  </si>
  <si>
    <t>16.4.1.4.10</t>
  </si>
  <si>
    <t>16.4.1.4.11</t>
  </si>
  <si>
    <t>16.4.2.2.2</t>
  </si>
  <si>
    <t>16.4.2.2.4</t>
  </si>
  <si>
    <t>16.4.2.2.5</t>
  </si>
  <si>
    <t>16.4.2.2.7</t>
  </si>
  <si>
    <t>16.4.2.2.9</t>
  </si>
  <si>
    <t>16.4.2.2.10</t>
  </si>
  <si>
    <t>16.4.2.2.6</t>
  </si>
  <si>
    <t>Injection prick charges to non-salaried person during TB treatment</t>
  </si>
  <si>
    <t>C&amp;DST Lab</t>
  </si>
  <si>
    <t>Lab 1</t>
  </si>
  <si>
    <t>Lab 2</t>
  </si>
  <si>
    <t>Lab 3</t>
  </si>
  <si>
    <t>Intermediate Reference Laboratory</t>
  </si>
  <si>
    <t>DMCs with smear microscopy (Fluorescent microscopy)</t>
  </si>
  <si>
    <t>CBNAAT Laboratory</t>
  </si>
  <si>
    <t>TrueNat Laboratory</t>
  </si>
  <si>
    <t>X-Ray Facility</t>
  </si>
  <si>
    <t>IRL / CDST Lab Equipment</t>
  </si>
  <si>
    <t>Other Lab Equipment (Specify)</t>
  </si>
  <si>
    <t>Office Equipment (Office Equipment at STC,STDC,IRL,SDS, DR TB Centre, C &amp;DST Lab)</t>
  </si>
  <si>
    <t>C &amp; DST Lab Equipment</t>
  </si>
  <si>
    <t>PDA / Computer Tablet</t>
  </si>
  <si>
    <t>C &amp; DST Equipment</t>
  </si>
  <si>
    <t>Office Equipment at DTC, DT-TB Centre (maintenance includes AMC, software and hardware upgrades, Printer Cartridges,Internet expenses and repairs of photocopier, fax, OHP etc)</t>
  </si>
  <si>
    <t>First Line Drug</t>
  </si>
  <si>
    <t>Second line Drugs</t>
  </si>
  <si>
    <t>Sample transportation (for diagnosis or follow up of drug sensitive or drug resistant TB patients)</t>
  </si>
  <si>
    <t>Travel cost to Presumptive TB or DR TB patients travel to DTC / Collection centre for Culture / DST or molecular test (for diagnosis or for follow up)</t>
  </si>
  <si>
    <t>Travel cost to DR-TB patient to District DR-TB Centre or Nodal DR-TB Centre</t>
  </si>
  <si>
    <t>DMC LT</t>
  </si>
  <si>
    <t>LT Medical College</t>
  </si>
  <si>
    <t>Sr LT C&amp;DST Lab</t>
  </si>
  <si>
    <t>Sr LT IRL</t>
  </si>
  <si>
    <t>Sr LT EQA</t>
  </si>
  <si>
    <t>Sr MO DR TB Centre</t>
  </si>
  <si>
    <t>MO Medical College</t>
  </si>
  <si>
    <t>MO DTC</t>
  </si>
  <si>
    <t>Counsellor for DR-TB Centre</t>
  </si>
  <si>
    <t xml:space="preserve">TB HV </t>
  </si>
  <si>
    <t>TB HV Medical College</t>
  </si>
  <si>
    <t>TrueNat Chips</t>
  </si>
  <si>
    <t>Lab materials for state (STDC/IRL, State C&amp;DST Lab)</t>
  </si>
  <si>
    <t>CBNAAT Cartridges</t>
  </si>
  <si>
    <t>Lab Materials for Districts (DMCs)</t>
  </si>
  <si>
    <t>Lab Materials for Districts (C&amp;DST lab)</t>
  </si>
  <si>
    <t xml:space="preserve">Innovation/ any other </t>
  </si>
  <si>
    <t>State Level PP/NGO support</t>
  </si>
  <si>
    <t>NIKSHAY Operator STC</t>
  </si>
  <si>
    <t>NIKSHAY Operator IRL</t>
  </si>
  <si>
    <t>NIKSHAY Operator C &amp;DST Lab</t>
  </si>
  <si>
    <t>NIKSHAY Operator STF</t>
  </si>
  <si>
    <t>NIKSHAY Operator</t>
  </si>
  <si>
    <t>ZTF / STF / MC faculty Travel for meeting or visits</t>
  </si>
  <si>
    <t>Diagnosis of LTBI</t>
  </si>
  <si>
    <t>Treatment of LTBI</t>
  </si>
  <si>
    <t>NPY for TB patients notified from public sector</t>
  </si>
  <si>
    <t>NPY for TB patients notified from private sector</t>
  </si>
  <si>
    <t>NPY for Drug Resistant TB patients</t>
  </si>
  <si>
    <t>No. of persons to be tested</t>
  </si>
  <si>
    <t>No. of persons to be treated</t>
  </si>
  <si>
    <t>No. of TB patients notified</t>
  </si>
  <si>
    <t>No. of DR-TB patients notified</t>
  </si>
  <si>
    <t>Screening and Referral linkages</t>
  </si>
  <si>
    <t>No. of persons to be screened / tested</t>
  </si>
  <si>
    <t>No. of persons on LTBI treatment</t>
  </si>
  <si>
    <t>No. of TB patients (incl. INH res. TB) on treatment</t>
  </si>
  <si>
    <t>No. of MDR/RR-TB patients on treatment</t>
  </si>
  <si>
    <t>No. of TB patients diagnosed from informant referral</t>
  </si>
  <si>
    <t>No. of TB / DR-TB patients</t>
  </si>
  <si>
    <t>No. of TB patients taking medicine from Chemist</t>
  </si>
  <si>
    <t>Incentive for Chemist for free drug dispensation</t>
  </si>
  <si>
    <t>No. of posts sanctioned 2019-20</t>
  </si>
  <si>
    <t>Committed unspent  balance (as on ______)</t>
  </si>
  <si>
    <t>Initial Establishment / Refurbishment / Upgradation</t>
  </si>
  <si>
    <t>Maintenance</t>
  </si>
  <si>
    <t>No. of Centres</t>
  </si>
  <si>
    <t>No. of Stores</t>
  </si>
  <si>
    <t>No. of Laboratories</t>
  </si>
  <si>
    <t>No. of Equipment</t>
  </si>
  <si>
    <t>No. of Kits / Qty of consumables</t>
  </si>
  <si>
    <t>Qty of consumables</t>
  </si>
  <si>
    <t>No. of cartridges</t>
  </si>
  <si>
    <t>No. of chips</t>
  </si>
  <si>
    <t>No. of tablets</t>
  </si>
  <si>
    <t>No. of supplies</t>
  </si>
  <si>
    <t>No. of vehicles</t>
  </si>
  <si>
    <t>No. of boxes</t>
  </si>
  <si>
    <t>No. of sleeves</t>
  </si>
  <si>
    <t>No. of patients</t>
  </si>
  <si>
    <t>No. of presumptive patients</t>
  </si>
  <si>
    <t>No. of samples / patients</t>
  </si>
  <si>
    <t xml:space="preserve">Unit Cost / Avg. Unit Cost / Avg. Salaries 
(Rs)  </t>
  </si>
  <si>
    <t>No. of Units (Quantity/ Target / Staff)</t>
  </si>
  <si>
    <t>No. of batches</t>
  </si>
  <si>
    <t>No. of event</t>
  </si>
  <si>
    <t>No. of CME</t>
  </si>
  <si>
    <t>No. of projects</t>
  </si>
  <si>
    <t>No. of thesis</t>
  </si>
  <si>
    <t>No. of OR</t>
  </si>
  <si>
    <t>No. of districts</t>
  </si>
  <si>
    <t>No. of activity</t>
  </si>
  <si>
    <t>No. of printing materials</t>
  </si>
  <si>
    <t>No. of meetings</t>
  </si>
  <si>
    <t>No. of workshops</t>
  </si>
  <si>
    <t>No. of person visits</t>
  </si>
  <si>
    <t>No. of driver</t>
  </si>
  <si>
    <t>No. of helper</t>
  </si>
  <si>
    <t>No. of materials</t>
  </si>
  <si>
    <t>Monthly charges</t>
  </si>
  <si>
    <t>No. of devices</t>
  </si>
  <si>
    <t>No. of new posts proposed</t>
  </si>
  <si>
    <t>No. of Months for which salary of new staff proposed</t>
  </si>
  <si>
    <t>No. of Months for which salary of  staff to be filled, proposed</t>
  </si>
  <si>
    <t xml:space="preserve">No. of staff to be filled among vacant posts </t>
  </si>
  <si>
    <t>Proposed Unit salary for exsting  staff</t>
  </si>
  <si>
    <t>Total salary of existing staff</t>
  </si>
  <si>
    <t>Total salary of staff to be filled among vacant posts</t>
  </si>
  <si>
    <t xml:space="preserve">Proposed Unit salary for staff to be filled up among vcanat posts </t>
  </si>
  <si>
    <t>Total salary of new staff</t>
  </si>
  <si>
    <t>No. of new positions proposed in 2020-21</t>
  </si>
  <si>
    <t>No. filled (as on Dec'19)</t>
  </si>
  <si>
    <t>No. of months for proposed staff</t>
  </si>
  <si>
    <t>No. of months for staff to be filled up out of vaccant</t>
  </si>
  <si>
    <t>Proposed unit salary of staff to be filled up</t>
  </si>
  <si>
    <t>Service Delivery - Human Resource - Given Seperately</t>
  </si>
  <si>
    <t>Human Resource - Given seperately</t>
  </si>
  <si>
    <t>3.2.6.1</t>
  </si>
  <si>
    <t>State/District TB Forums</t>
  </si>
  <si>
    <t>3.2.6.2</t>
  </si>
  <si>
    <t>Community engagement activities</t>
  </si>
  <si>
    <t>PMDT, TB-comorbidty committee meeting expenditure</t>
  </si>
  <si>
    <t>lumpsum</t>
  </si>
  <si>
    <t>Follow up of persons under LTBI management</t>
  </si>
  <si>
    <t>No. of Household / persons to be screened</t>
  </si>
  <si>
    <t>Sr DR-TB/TB HIV Coordinator</t>
  </si>
  <si>
    <t>State Pharmacists cum stroe keeper</t>
  </si>
  <si>
    <t>District Pharmacists</t>
  </si>
  <si>
    <t>Number and % of pediatric TB patients notified (among total)</t>
  </si>
  <si>
    <t>No. of MDR/RR-TB patients intiated on treatment during the period*</t>
  </si>
  <si>
    <t>Total number of TB patients notified</t>
  </si>
  <si>
    <t>Total number of patients notified in public sector</t>
  </si>
  <si>
    <t>Annualized total TB notification rate</t>
  </si>
  <si>
    <t>Annualized  TB case notification  rate (per lakh pop - public sector)</t>
  </si>
  <si>
    <t>Number of TB patients as per current PHI</t>
  </si>
  <si>
    <t>Number and % of TB patients put on treatment</t>
  </si>
  <si>
    <t>Number and % of TB patients with known HIV status during previous 4 quarters</t>
  </si>
  <si>
    <t>Number and % of TB patients with known DST result</t>
  </si>
  <si>
    <t>Treatment Success Rate in DS-TB (public sector)</t>
  </si>
  <si>
    <t>Treatment Success Rate in DS-TB (private sector)</t>
  </si>
  <si>
    <t>Public Sector</t>
  </si>
  <si>
    <t>Private / NGO</t>
  </si>
  <si>
    <t>No. of TrueNat lab</t>
  </si>
  <si>
    <t>No. of CBNAAT Lab</t>
  </si>
  <si>
    <t>Physical Targets (Quantity planned / Posts Sanctioned) for 2020-21</t>
  </si>
  <si>
    <t>NTEP</t>
  </si>
  <si>
    <t>Trainings under NTEP</t>
  </si>
  <si>
    <t>Human resources for NTEP drug store</t>
  </si>
  <si>
    <t>Physical Achievement (or Numbers present / No. of posts in place) as on Dec'20</t>
  </si>
  <si>
    <t>Budget 2020-21</t>
  </si>
  <si>
    <t>Expenditure (as on Dec'20)</t>
  </si>
  <si>
    <t>No. of Posts Sanctioned in 2020-21</t>
  </si>
  <si>
    <t>No. of staff filled in (as on Dec'20)</t>
  </si>
  <si>
    <t>2020-21</t>
  </si>
  <si>
    <t>NTEP Training Plan</t>
  </si>
  <si>
    <t xml:space="preserve">No. already trained in NTEP </t>
  </si>
  <si>
    <t>No.  planned to be trained in NTEP during each quarter of next FY</t>
  </si>
  <si>
    <t>FY
(2020-21)</t>
  </si>
  <si>
    <t>1.3.1.12</t>
  </si>
  <si>
    <t>Maintenance of office equipment for DTC, DRTB centre and Labs (under NTEP)</t>
  </si>
  <si>
    <t>3.2.3.1.4</t>
  </si>
  <si>
    <t>Other activities</t>
  </si>
  <si>
    <t>Other Community level Interventions under NDCP- NTEP</t>
  </si>
  <si>
    <t>3.2.3</t>
  </si>
  <si>
    <t>Travel support for DRTB Patients</t>
  </si>
  <si>
    <t xml:space="preserve">Incentives for outreach activity for vulnerability mapping </t>
  </si>
  <si>
    <t>6.1.4.4</t>
  </si>
  <si>
    <t>Number planned  for FY 2020-21</t>
  </si>
  <si>
    <t>6.1.6.3</t>
  </si>
  <si>
    <t>6.2.3.3</t>
  </si>
  <si>
    <t>Drugs &amp; Supplies for NTEP</t>
  </si>
  <si>
    <t>Procurement Sub Annex C1</t>
  </si>
  <si>
    <t>Procurement Sub Annex C2</t>
  </si>
  <si>
    <t>Procurement Sub Annex C3</t>
  </si>
  <si>
    <t>6.3.1</t>
  </si>
  <si>
    <t>Procurement (Others)</t>
  </si>
  <si>
    <t>Other Procurement A</t>
  </si>
  <si>
    <t>Other Procurement B</t>
  </si>
  <si>
    <t>Other Procurement C</t>
  </si>
  <si>
    <t>9.2.3.4</t>
  </si>
  <si>
    <t>Training Sub Annex -D3</t>
  </si>
  <si>
    <t>Training Sub Annex -D2</t>
  </si>
  <si>
    <t>Training Sub Annex -D1</t>
  </si>
  <si>
    <t>Districts - TB Free Status</t>
  </si>
  <si>
    <t>Districts - Gold Medal</t>
  </si>
  <si>
    <t>Districts - Silver Medal</t>
  </si>
  <si>
    <t>Districts- Bronze Medal</t>
  </si>
  <si>
    <t>11.3.3.</t>
  </si>
  <si>
    <t>IEC/ BCC Sub Annex C1</t>
  </si>
  <si>
    <t>IEC/ BCC Sub Annex C2</t>
  </si>
  <si>
    <t>IEC/ BCC Sub Annex C3</t>
  </si>
  <si>
    <t>12.3.3</t>
  </si>
  <si>
    <t>Printing under NTEP</t>
  </si>
  <si>
    <t>Printing Sub Annex C1</t>
  </si>
  <si>
    <t>15.3.3</t>
  </si>
  <si>
    <t>PPP under NTEP</t>
  </si>
  <si>
    <t>15.3.3.1</t>
  </si>
  <si>
    <t>15.3.3.2</t>
  </si>
  <si>
    <t>15.3.3.3</t>
  </si>
  <si>
    <t>15.3.3.4</t>
  </si>
  <si>
    <t>Per patient</t>
  </si>
  <si>
    <t>IT Initiatives</t>
  </si>
  <si>
    <t>Innovations</t>
  </si>
  <si>
    <t>Innovations under NDCP</t>
  </si>
  <si>
    <t>Service Delivery - Facility Based</t>
  </si>
  <si>
    <t>NUHM Non-Metro</t>
  </si>
  <si>
    <t>NUM Metro</t>
  </si>
  <si>
    <t>U.1.1.1.4</t>
  </si>
  <si>
    <t>Support for implementation of NTEP</t>
  </si>
  <si>
    <t>Annex Number</t>
  </si>
  <si>
    <t>NDCP</t>
  </si>
  <si>
    <t>HSS</t>
  </si>
  <si>
    <t>HSS/NTEP</t>
  </si>
  <si>
    <t>HRH&amp;HPIP/NTEP</t>
  </si>
  <si>
    <t>NGO PP Scheme Wise Details: NHM PIP 2021-22, NTEP</t>
  </si>
  <si>
    <t>New Scheme</t>
  </si>
  <si>
    <t>Amount Proposed (Rs.)</t>
  </si>
  <si>
    <t>Amount already paid for 2020-21 (Rs.)</t>
  </si>
  <si>
    <t>Amount to be paid for 2020-21 (Rs.)</t>
  </si>
  <si>
    <t xml:space="preserve">Old Scheme </t>
  </si>
  <si>
    <t>Option I: PPSA</t>
  </si>
  <si>
    <t>Option II: Public Health Action</t>
  </si>
  <si>
    <t>TB HIV Intervention for HRG</t>
  </si>
  <si>
    <t>Option III: Speciman Manegment</t>
  </si>
  <si>
    <t>1) Sputum collection; 2) Sputum pickup and transport</t>
  </si>
  <si>
    <t>Option IV: Diagnostics</t>
  </si>
  <si>
    <t>Option V: Treatment Services</t>
  </si>
  <si>
    <t>Physician Consultation including Pre treatment evaluation, ADR manegment, Follow up</t>
  </si>
  <si>
    <t>Option VI: Drug Access and Delivery Services</t>
  </si>
  <si>
    <t>-</t>
  </si>
  <si>
    <t>Option VII: Active Case Finding and TB Prevention</t>
  </si>
  <si>
    <t>1) ACF; 2) Urban Slum</t>
  </si>
  <si>
    <t>Option VIII: ACSM</t>
  </si>
  <si>
    <t>Suggestive cost Rs. 800 per test of IGRA .  Till date could not be started, waiting for guidelines</t>
  </si>
  <si>
    <t xml:space="preserve">60% positivity is expected with IGRA test, hence 9000 are estimated for treatment.  The treatment cost per patient is estimated @ Rs.432 for 3RH is offered for 5-18Yrs contacts as communicated by CTD. </t>
  </si>
  <si>
    <t>Ongoing activity</t>
  </si>
  <si>
    <t>100 &amp; 15000</t>
  </si>
  <si>
    <t>Proposed again as it is not started in the current FY</t>
  </si>
  <si>
    <t>100 &amp; 9000</t>
  </si>
  <si>
    <t>No. of activities</t>
  </si>
  <si>
    <t>Ongoing activity as per the guidance of the CTD, GoI @ 1 meeting per quarter / district and state</t>
  </si>
  <si>
    <r>
      <t>Every month 24</t>
    </r>
    <r>
      <rPr>
        <vertAlign val="superscript"/>
        <sz val="11"/>
        <color indexed="8"/>
        <rFont val="Calibri"/>
        <family val="2"/>
      </rPr>
      <t>th</t>
    </r>
    <r>
      <rPr>
        <sz val="11"/>
        <color indexed="8"/>
        <rFont val="Calibri"/>
        <family val="2"/>
      </rPr>
      <t xml:space="preserve"> is observed as Nikshay Diwas Day and community activities are taken up at every district like rallies, community level meetings involving TB champions, etc (13districts x 12)</t>
    </r>
  </si>
  <si>
    <t>As per the guidance of the CTD, GoI; Selected 1 TB unit for 13 districts @ 2.00lakh population per TB unit, continued from FY 2020-21</t>
  </si>
  <si>
    <t>Ongoing activity, expecting shorter oral regimen start up</t>
  </si>
  <si>
    <t>Acitivity</t>
  </si>
  <si>
    <t>a) Ongoing activity proposed - Vulerability screening - House hold screening, testing with CBNAAT van, RNTCP treatment cascade (Rs.32.50)
b) Selection of TB champions atleast another 2 per TU in all districts i.e., 234 x 2 = 468 and they will be trained as TOTs at district level and every one on Anti TB Day they will be taken to the field by preparing an action plan and engaging community to sensitize the public on TB.  Induction training Rs.400 x 468 = 1.872; 
TA to take to field Rs.300 x 468 = 1.404;
Review every quarter at DTC ( 4 x 400 x 468) = 7.488 i.e., 10.764;  
Total = 43.26 lakhs</t>
  </si>
  <si>
    <t>Ongoing activity, Refurbishment, Visakhapatnam</t>
  </si>
  <si>
    <t>Ongoing activity, Refurbishment, Visakhapatnam, Guntur, Anantapur and Tirupati</t>
  </si>
  <si>
    <t>Ongoing activity, Refurbishment (Visakhapatnam)</t>
  </si>
  <si>
    <t>Ongoing activity, Refurbishment (Visakhapatnam, Vijayawada)</t>
  </si>
  <si>
    <t>94 PHCs will be upgraded DMCs</t>
  </si>
  <si>
    <t>For laboratory equipment annual maintenance contract</t>
  </si>
  <si>
    <t>Tablets 750 @ Rs.200/- maintenace</t>
  </si>
  <si>
    <t>Ongoing activity, proposed for 610 BMs maintenance</t>
  </si>
  <si>
    <t>IRL Visakhapatnam, C&amp;DST Lab Vijayawada; For non-proprietary consumables required @ Rs.10.00lakhs</t>
  </si>
  <si>
    <t>1145 PHCs, 240 UPHCs, 45 CBNAAT sites, 198 CHCs &amp; Area Hospitals for diagnosing and follow-up tests</t>
  </si>
  <si>
    <t>Ongoing activity, 225 sites (on contract test rental basis)  x 5 tests per day x 26days x 12months x Rs.710/- per test</t>
  </si>
  <si>
    <t>Any Other (Please specify) 1st line drugs</t>
  </si>
  <si>
    <t>Any other, Travel cost to Presumptive TB or DR TB patients travel to DTC / Collection centre for Culture / DST or molecular test (for diagnosis or for follow up)</t>
  </si>
  <si>
    <t>Ongoing activity; For capacity building on updates / newer areas under the program; Partnership guideines; Pediatric TB and TB comorbidities</t>
  </si>
  <si>
    <t>1 OR proposed at state level</t>
  </si>
  <si>
    <t>10 MC thesis proposed</t>
  </si>
  <si>
    <t>Ongoing activity, Srikakulam and Vizianagaram districts;  Newly proposed East Godavari district</t>
  </si>
  <si>
    <t xml:space="preserve">Ongoing activity for 13 districts @ 0.50 </t>
  </si>
  <si>
    <t>Ongoing activitiy</t>
  </si>
  <si>
    <t>Proposed on the basis of printing material required @ Rs.1.50 lakh per district  and 1.50 at state for items like such as treatment cards, patient ID cards, TB registers, Laboratory annexures, training modules, etc.</t>
  </si>
  <si>
    <t>Ongoing activitiy, payment to APSRTC</t>
  </si>
  <si>
    <t>Drugs</t>
  </si>
  <si>
    <t>ongoing activity at two districts East Godavari and Guntur District 4 TB units are run under NGO PP scheme and 10 DMC schemes</t>
  </si>
  <si>
    <t xml:space="preserve">Proposed for 1 districts (Visakhapatnam as this district is transited from JEET project) and 7 districts continued from current Financial year </t>
  </si>
  <si>
    <t>For first notification Rs.500/- and treatment support @ Rs.500/- for 500</t>
  </si>
  <si>
    <t xml:space="preserve">Continued activity, for collaboration with other line departments and organisations like  AYUSH, Rural Development, Urban Development, CGHS, ESI and Railways </t>
  </si>
  <si>
    <t>Continuing activity</t>
  </si>
  <si>
    <t>District level supervisory visit by NTEP Supervisory staff</t>
  </si>
  <si>
    <t xml:space="preserve">Ongoing activity,  4 new medical colleges are established (Nimra, Viswa Bharathi, GEMS, Gayatri) </t>
  </si>
  <si>
    <t xml:space="preserve">SOE for last 3 years - State Health and Family Welfare Society,RNTCP Andhra Pradesh </t>
  </si>
  <si>
    <t>Approved</t>
  </si>
  <si>
    <t>Utilized</t>
  </si>
  <si>
    <t xml:space="preserve">Utilised </t>
  </si>
  <si>
    <t>Procurement – Drugs</t>
  </si>
  <si>
    <t>Procurement – Vehicles</t>
  </si>
  <si>
    <t>Utilised (till Nov'20)</t>
  </si>
  <si>
    <t>Revised National TB Control Program</t>
  </si>
  <si>
    <t>Name of the State:  Andhra Pradesh</t>
  </si>
  <si>
    <t>RNTCP performance indicators:  (Jan-Dec,2020)</t>
  </si>
  <si>
    <t>Plan for the next year (2021-22)</t>
  </si>
  <si>
    <t>%</t>
  </si>
  <si>
    <t>Ananthpur</t>
  </si>
  <si>
    <t>Chittoor</t>
  </si>
  <si>
    <t>Yes</t>
  </si>
  <si>
    <t>Cuddapah</t>
  </si>
  <si>
    <t>East Godavari</t>
  </si>
  <si>
    <t>Guntur</t>
  </si>
  <si>
    <t>Krishna</t>
  </si>
  <si>
    <t>Kurnool</t>
  </si>
  <si>
    <t>Nellore</t>
  </si>
  <si>
    <t>Prakasam</t>
  </si>
  <si>
    <t>Srikakulam</t>
  </si>
  <si>
    <t>Visakhapatnam</t>
  </si>
  <si>
    <t>Vizianagaram</t>
  </si>
  <si>
    <t>West Godavari</t>
  </si>
  <si>
    <t>STATE TOTAL</t>
  </si>
  <si>
    <t>Budget Summary for Active Case Finding Campaign</t>
  </si>
  <si>
    <t>FMR Code :</t>
  </si>
  <si>
    <t>11.17.2</t>
  </si>
  <si>
    <t>Sr.No</t>
  </si>
  <si>
    <t xml:space="preserve">Budget Head </t>
  </si>
  <si>
    <t>Estimated budget for the 2021-22 for which plan is being submitted (Rs.)</t>
  </si>
  <si>
    <t>Note: add more districts, if required</t>
  </si>
  <si>
    <t>The amount must be included in concerned head of PIP</t>
  </si>
  <si>
    <t>Budget for above activities should reflect under state PIP sheet</t>
  </si>
  <si>
    <t>Please refer ACF guidelines for detailed activities under each head, which was circulated by CTD</t>
  </si>
  <si>
    <t>Increasing Total Case Notification</t>
  </si>
  <si>
    <t>1 a) Increasing Smear Negative and EP Case Detection by involving Medical colleges and increasing functional X-Ray Units availability to RNTCP</t>
  </si>
  <si>
    <t>Ongoing Activity for all 4 quarters.</t>
  </si>
  <si>
    <t>1 b) Improving Notification from Private Sector</t>
  </si>
  <si>
    <t>1 c) Ensure all DMCs are fully functional, Training of all untrained MOs &amp; Para Medical Staff 
       in the District, Strengthening of inter District, TU referral / transfer 
       mechanism, Increased emphasis on IEC</t>
  </si>
  <si>
    <t>Achieve and sustain cure rates</t>
  </si>
  <si>
    <t>2 a) Strengthen DOTS at field level</t>
  </si>
  <si>
    <t>2 b) Increase case monitoring and regular follow-ups to reduce defaults</t>
  </si>
  <si>
    <t>2 c) Regular release of honorairum for DOT providers</t>
  </si>
  <si>
    <t>Improving TB-HIV Collabororation</t>
  </si>
  <si>
    <t>3 a) Periodic meetings with APSACS and at district level between RNTCP &amp; NACP</t>
  </si>
  <si>
    <t>3 b)  Regular sharing of line lists between the porgrams and reducing the gap in service provision between both the programs</t>
  </si>
  <si>
    <t>3 c) Strengthening ICF, INH prophylaxis and CPT, ART for co-infected patients</t>
  </si>
  <si>
    <t>Maintaining the quality of PMDT</t>
  </si>
  <si>
    <t>4 a) Strengthening the monitoring and supervision in PMDT at all levels and improving suspect referral for C&amp; DST and initiating treatment services at the earliest</t>
  </si>
  <si>
    <t>4 b) Provision of DRTB treatment services in all districts</t>
  </si>
  <si>
    <t>4 c)  Electronic monitoring of the DRTB patients for better outcomes</t>
  </si>
  <si>
    <t>Strengthening IEC &amp; NGO-PP imvolvement in RNTCP</t>
  </si>
  <si>
    <t>5 a) Initiating regular IEC activities and monitoring at regular intervals for measuring impact of the activities</t>
  </si>
  <si>
    <t>5 b) Improving the NGO-PP involvement in the program</t>
  </si>
  <si>
    <t>5 c) Developing newer strategies for increased involvement of private sector in coordination with IMA, APNA and other fraternities</t>
  </si>
  <si>
    <t xml:space="preserve"> Priority areas must be genuine, focused  and activities planned  to achve those must be executable.</t>
  </si>
  <si>
    <t>Visakhapatnam, and continued 7 districts</t>
  </si>
  <si>
    <t>PPSA project ((E.Godavari, Krishna, Prakasam, Nellore, Kadapa, Anantapur and Guntur ), Visakhapatnam newly as it is transition from JEET Project</t>
  </si>
  <si>
    <t>All districts</t>
  </si>
  <si>
    <t>above parameters</t>
  </si>
  <si>
    <t>3.5 Crores</t>
  </si>
  <si>
    <t>50 Lakhs</t>
  </si>
  <si>
    <t>8  Districts -Anantapur, Guntur, East Godavari, Krishna, Prakasam, Kadapa, Nellore &amp; Visakhapatnam</t>
  </si>
  <si>
    <t>Nil</t>
  </si>
  <si>
    <t>PPSA- 7 Districts</t>
  </si>
  <si>
    <t>NA</t>
  </si>
  <si>
    <t>1) Designated microscopy centre ( DMC  4 B )</t>
  </si>
  <si>
    <t>_</t>
  </si>
  <si>
    <t>DTO  on TOG &amp; RPMDT (National Level)</t>
  </si>
  <si>
    <t>MO TC on TOG &amp; RPMDT</t>
  </si>
  <si>
    <t>Each quarter one batch.</t>
  </si>
  <si>
    <t>Re Orienation STS &amp; STLS on TOG &amp; RPMDT</t>
  </si>
  <si>
    <t>STS &amp; STLS on TOG &amp; RPMDT</t>
  </si>
  <si>
    <t>District level Coordinator  on TOG &amp; RPMDT</t>
  </si>
  <si>
    <t>Training on partnership guidelines / PPM</t>
  </si>
  <si>
    <t>Training on pediatric TB</t>
  </si>
  <si>
    <t>Training on TB comorbidity</t>
  </si>
  <si>
    <t>Training of TB Champions</t>
  </si>
  <si>
    <t>Training of Community Health Officers</t>
  </si>
  <si>
    <t>Training on LTBI management</t>
  </si>
  <si>
    <t xml:space="preserve">Nil </t>
  </si>
  <si>
    <t>Training on sample collection for non-sputum samples</t>
  </si>
  <si>
    <t>Any other (specify)</t>
  </si>
  <si>
    <t>District Level Training</t>
  </si>
  <si>
    <t>Medical Officer TOG &amp; RPMDT</t>
  </si>
  <si>
    <t>Laboratory Technicians TOG &amp; RPMDT</t>
  </si>
  <si>
    <t>Re orientation of Laboratory Technicians</t>
  </si>
  <si>
    <t xml:space="preserve">Re- orientation Nikshy Aushadhi </t>
  </si>
  <si>
    <t>Activity ( West Bengal)</t>
  </si>
  <si>
    <t>No. proposed to be undertaken in 2021-22</t>
  </si>
  <si>
    <t>Budget proposed for FY 2021-22
(Rs in Lakhs</t>
  </si>
  <si>
    <t>Nos. Undertaken(Dec 2020)</t>
  </si>
  <si>
    <t>Wall Writing</t>
  </si>
  <si>
    <t>Radio</t>
  </si>
  <si>
    <t>TV</t>
  </si>
  <si>
    <t>TB Harega Desh Jeetega Campaign</t>
  </si>
</sst>
</file>

<file path=xl/styles.xml><?xml version="1.0" encoding="utf-8"?>
<styleSheet xmlns="http://schemas.openxmlformats.org/spreadsheetml/2006/main">
  <numFmts count="2">
    <numFmt numFmtId="164" formatCode="0.0"/>
    <numFmt numFmtId="165" formatCode="0.000"/>
  </numFmts>
  <fonts count="59">
    <font>
      <sz val="11"/>
      <color theme="1"/>
      <name val="Calibri"/>
      <family val="2"/>
      <scheme val="minor"/>
    </font>
    <font>
      <sz val="11"/>
      <color theme="1"/>
      <name val="Calibri"/>
      <family val="2"/>
      <scheme val="minor"/>
    </font>
    <font>
      <b/>
      <sz val="11"/>
      <color rgb="FFFA7D00"/>
      <name val="Calibri"/>
      <family val="2"/>
      <scheme val="minor"/>
    </font>
    <font>
      <b/>
      <sz val="11"/>
      <color theme="1"/>
      <name val="Calibri"/>
      <family val="2"/>
      <scheme val="minor"/>
    </font>
    <font>
      <b/>
      <sz val="9"/>
      <color theme="0"/>
      <name val="Verdana"/>
      <family val="2"/>
    </font>
    <font>
      <sz val="9"/>
      <name val="Verdana"/>
      <family val="2"/>
    </font>
    <font>
      <sz val="9"/>
      <color theme="1"/>
      <name val="Verdana"/>
      <family val="2"/>
    </font>
    <font>
      <sz val="10"/>
      <name val="Arial"/>
      <family val="2"/>
    </font>
    <font>
      <sz val="10"/>
      <color theme="1"/>
      <name val="Times New Roman"/>
      <family val="1"/>
    </font>
    <font>
      <sz val="8"/>
      <color theme="1"/>
      <name val="Tahoma"/>
      <family val="2"/>
    </font>
    <font>
      <b/>
      <i/>
      <u/>
      <sz val="12"/>
      <name val="Times New Roman"/>
      <family val="1"/>
    </font>
    <font>
      <b/>
      <sz val="12"/>
      <color theme="0"/>
      <name val="Times New Roman"/>
      <family val="1"/>
    </font>
    <font>
      <sz val="12"/>
      <color theme="1"/>
      <name val="Times New Roman"/>
      <family val="1"/>
    </font>
    <font>
      <b/>
      <sz val="8"/>
      <color theme="1"/>
      <name val="Tahoma"/>
      <family val="2"/>
    </font>
    <font>
      <sz val="10"/>
      <color theme="1"/>
      <name val="Calibri"/>
      <family val="2"/>
      <scheme val="minor"/>
    </font>
    <font>
      <b/>
      <sz val="10"/>
      <name val="Arial"/>
      <family val="2"/>
    </font>
    <font>
      <sz val="12"/>
      <color indexed="8"/>
      <name val="Calibri"/>
      <family val="2"/>
    </font>
    <font>
      <sz val="10"/>
      <color rgb="FF000000"/>
      <name val="Verdana"/>
      <family val="2"/>
    </font>
    <font>
      <b/>
      <sz val="9"/>
      <name val="Verdana"/>
      <family val="2"/>
    </font>
    <font>
      <b/>
      <sz val="10"/>
      <name val="Verdana"/>
      <family val="2"/>
    </font>
    <font>
      <sz val="11"/>
      <name val="Calibri"/>
      <family val="2"/>
      <scheme val="minor"/>
    </font>
    <font>
      <b/>
      <sz val="10"/>
      <color indexed="8"/>
      <name val="Arial"/>
      <family val="2"/>
    </font>
    <font>
      <sz val="10"/>
      <color indexed="8"/>
      <name val="Arial"/>
      <family val="2"/>
    </font>
    <font>
      <b/>
      <sz val="10"/>
      <color theme="1"/>
      <name val="Times New Roman"/>
      <family val="1"/>
    </font>
    <font>
      <b/>
      <sz val="11"/>
      <color theme="5"/>
      <name val="Calibri"/>
      <family val="2"/>
      <scheme val="minor"/>
    </font>
    <font>
      <b/>
      <sz val="12"/>
      <color indexed="8"/>
      <name val="Calibri"/>
      <family val="2"/>
    </font>
    <font>
      <sz val="11"/>
      <color rgb="FF9C0006"/>
      <name val="Calibri"/>
      <family val="2"/>
      <scheme val="minor"/>
    </font>
    <font>
      <sz val="11"/>
      <color rgb="FFFF0000"/>
      <name val="Calibri"/>
      <family val="2"/>
      <scheme val="minor"/>
    </font>
    <font>
      <sz val="10"/>
      <name val="Verdana"/>
      <family val="2"/>
    </font>
    <font>
      <sz val="10"/>
      <color theme="1"/>
      <name val="Verdana"/>
      <family val="2"/>
    </font>
    <font>
      <sz val="11"/>
      <name val="Arial"/>
      <family val="2"/>
    </font>
    <font>
      <b/>
      <sz val="9"/>
      <color theme="1"/>
      <name val="Verdana"/>
      <family val="2"/>
    </font>
    <font>
      <b/>
      <sz val="10"/>
      <color theme="0"/>
      <name val="Verdana"/>
      <family val="2"/>
    </font>
    <font>
      <b/>
      <sz val="11"/>
      <name val="Calibri"/>
      <family val="2"/>
      <scheme val="minor"/>
    </font>
    <font>
      <b/>
      <sz val="10"/>
      <color theme="1"/>
      <name val="Verdana"/>
      <family val="2"/>
    </font>
    <font>
      <sz val="11"/>
      <color rgb="FF000000"/>
      <name val="Calibri"/>
      <family val="2"/>
      <scheme val="minor"/>
    </font>
    <font>
      <b/>
      <sz val="12"/>
      <color theme="1"/>
      <name val="Times New Roman"/>
      <family val="1"/>
    </font>
    <font>
      <b/>
      <sz val="14"/>
      <color theme="1"/>
      <name val="Times New Roman"/>
      <family val="1"/>
    </font>
    <font>
      <b/>
      <sz val="12"/>
      <color rgb="FF000000"/>
      <name val="Times New Roman"/>
      <family val="1"/>
    </font>
    <font>
      <sz val="11"/>
      <color theme="1"/>
      <name val="Calibri"/>
      <family val="2"/>
    </font>
    <font>
      <sz val="11"/>
      <name val="Verdana"/>
      <family val="2"/>
    </font>
    <font>
      <sz val="11"/>
      <color rgb="FF000000"/>
      <name val="Calibri"/>
      <family val="2"/>
    </font>
    <font>
      <vertAlign val="superscript"/>
      <sz val="11"/>
      <color indexed="8"/>
      <name val="Calibri"/>
      <family val="2"/>
    </font>
    <font>
      <sz val="11"/>
      <color indexed="8"/>
      <name val="Calibri"/>
      <family val="2"/>
    </font>
    <font>
      <sz val="11"/>
      <name val="Calibri"/>
      <family val="2"/>
    </font>
    <font>
      <b/>
      <sz val="11"/>
      <color indexed="8"/>
      <name val="Calibri"/>
      <family val="2"/>
    </font>
    <font>
      <b/>
      <sz val="12"/>
      <name val="Calibri"/>
      <family val="2"/>
    </font>
    <font>
      <b/>
      <sz val="10"/>
      <name val="Calibri"/>
      <family val="2"/>
      <scheme val="minor"/>
    </font>
    <font>
      <sz val="10"/>
      <name val="Calibri"/>
      <family val="2"/>
      <scheme val="minor"/>
    </font>
    <font>
      <sz val="10"/>
      <name val="Calibri"/>
      <family val="2"/>
    </font>
    <font>
      <b/>
      <sz val="18"/>
      <color indexed="8"/>
      <name val="Calibri"/>
      <family val="2"/>
    </font>
    <font>
      <b/>
      <i/>
      <sz val="12"/>
      <color indexed="8"/>
      <name val="Calibri"/>
      <family val="2"/>
    </font>
    <font>
      <b/>
      <sz val="12"/>
      <color indexed="9"/>
      <name val="Times New Roman"/>
      <family val="1"/>
    </font>
    <font>
      <b/>
      <sz val="11"/>
      <color indexed="8"/>
      <name val="Tahoma"/>
      <family val="2"/>
    </font>
    <font>
      <b/>
      <i/>
      <u/>
      <sz val="12"/>
      <color indexed="8"/>
      <name val="Times New Roman"/>
      <family val="1"/>
    </font>
    <font>
      <b/>
      <i/>
      <sz val="12"/>
      <color indexed="8"/>
      <name val="Times New Roman"/>
      <family val="1"/>
    </font>
    <font>
      <b/>
      <sz val="10"/>
      <color theme="1"/>
      <name val="Calibri"/>
      <family val="2"/>
      <scheme val="minor"/>
    </font>
    <font>
      <b/>
      <sz val="10"/>
      <color theme="1"/>
      <name val="Arial"/>
      <family val="2"/>
    </font>
    <font>
      <sz val="10"/>
      <color theme="1"/>
      <name val="Arial"/>
      <family val="2"/>
    </font>
  </fonts>
  <fills count="23">
    <fill>
      <patternFill patternType="none"/>
    </fill>
    <fill>
      <patternFill patternType="gray125"/>
    </fill>
    <fill>
      <patternFill patternType="solid">
        <fgColor rgb="FFF2F2F2"/>
      </patternFill>
    </fill>
    <fill>
      <patternFill patternType="solid">
        <fgColor rgb="FF002060"/>
        <bgColor indexed="64"/>
      </patternFill>
    </fill>
    <fill>
      <patternFill patternType="solid">
        <fgColor rgb="FF92D050"/>
        <bgColor indexed="64"/>
      </patternFill>
    </fill>
    <fill>
      <patternFill patternType="solid">
        <fgColor rgb="FFFFFF00"/>
        <bgColor indexed="64"/>
      </patternFill>
    </fill>
    <fill>
      <patternFill patternType="solid">
        <fgColor theme="4"/>
        <bgColor indexed="64"/>
      </patternFill>
    </fill>
    <fill>
      <patternFill patternType="solid">
        <fgColor theme="0"/>
        <bgColor indexed="64"/>
      </patternFill>
    </fill>
    <fill>
      <patternFill patternType="solid">
        <fgColor rgb="FFFFC7CE"/>
      </patternFill>
    </fill>
    <fill>
      <patternFill patternType="solid">
        <fgColor theme="7" tint="-0.249977111117893"/>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tint="0.499984740745262"/>
        <bgColor indexed="64"/>
      </patternFill>
    </fill>
    <fill>
      <patternFill patternType="solid">
        <fgColor rgb="FFFFC000"/>
        <bgColor indexed="64"/>
      </patternFill>
    </fill>
    <fill>
      <patternFill patternType="solid">
        <fgColor indexed="9"/>
        <bgColor indexed="64"/>
      </patternFill>
    </fill>
    <fill>
      <patternFill patternType="solid">
        <fgColor indexed="13"/>
        <bgColor indexed="64"/>
      </patternFill>
    </fill>
    <fill>
      <patternFill patternType="solid">
        <fgColor indexed="9"/>
        <bgColor indexed="9"/>
      </patternFill>
    </fill>
    <fill>
      <patternFill patternType="solid">
        <fgColor indexed="62"/>
        <bgColor indexed="64"/>
      </patternFill>
    </fill>
    <fill>
      <patternFill patternType="solid">
        <fgColor theme="0" tint="-0.249977111117893"/>
        <bgColor indexed="64"/>
      </patternFill>
    </fill>
    <fill>
      <patternFill patternType="solid">
        <fgColor theme="9" tint="0.79998168889431442"/>
        <bgColor indexed="64"/>
      </patternFill>
    </fill>
  </fills>
  <borders count="36">
    <border>
      <left/>
      <right/>
      <top/>
      <bottom/>
      <diagonal/>
    </border>
    <border>
      <left style="thin">
        <color rgb="FF7F7F7F"/>
      </left>
      <right style="thin">
        <color rgb="FF7F7F7F"/>
      </right>
      <top style="thin">
        <color rgb="FF7F7F7F"/>
      </top>
      <bottom style="thin">
        <color rgb="FF7F7F7F"/>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top style="medium">
        <color indexed="64"/>
      </top>
      <bottom style="thin">
        <color indexed="64"/>
      </bottom>
      <diagonal/>
    </border>
    <border>
      <left/>
      <right style="medium">
        <color indexed="64"/>
      </right>
      <top/>
      <bottom style="medium">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8"/>
      </left>
      <right style="medium">
        <color indexed="8"/>
      </right>
      <top style="medium">
        <color indexed="8"/>
      </top>
      <bottom style="medium">
        <color indexed="8"/>
      </bottom>
      <diagonal/>
    </border>
    <border>
      <left/>
      <right style="medium">
        <color indexed="8"/>
      </right>
      <top style="medium">
        <color indexed="8"/>
      </top>
      <bottom style="medium">
        <color indexed="8"/>
      </bottom>
      <diagonal/>
    </border>
    <border>
      <left/>
      <right style="medium">
        <color rgb="FF000000"/>
      </right>
      <top style="medium">
        <color rgb="FF000000"/>
      </top>
      <bottom/>
      <diagonal/>
    </border>
    <border>
      <left style="medium">
        <color indexed="8"/>
      </left>
      <right style="medium">
        <color indexed="8"/>
      </right>
      <top style="medium">
        <color indexed="8"/>
      </top>
      <bottom/>
      <diagonal/>
    </border>
    <border>
      <left/>
      <right/>
      <top/>
      <bottom style="medium">
        <color indexed="8"/>
      </bottom>
      <diagonal/>
    </border>
    <border>
      <left style="medium">
        <color indexed="8"/>
      </left>
      <right style="medium">
        <color indexed="8"/>
      </right>
      <top/>
      <bottom/>
      <diagonal/>
    </border>
    <border>
      <left style="medium">
        <color indexed="8"/>
      </left>
      <right/>
      <top style="medium">
        <color indexed="8"/>
      </top>
      <bottom/>
      <diagonal/>
    </border>
    <border>
      <left style="medium">
        <color indexed="64"/>
      </left>
      <right style="medium">
        <color indexed="64"/>
      </right>
      <top/>
      <bottom/>
      <diagonal/>
    </border>
    <border>
      <left style="medium">
        <color indexed="8"/>
      </left>
      <right/>
      <top/>
      <bottom style="medium">
        <color indexed="8"/>
      </bottom>
      <diagonal/>
    </border>
    <border>
      <left style="medium">
        <color indexed="8"/>
      </left>
      <right style="medium">
        <color indexed="8"/>
      </right>
      <top/>
      <bottom style="medium">
        <color indexed="8"/>
      </bottom>
      <diagonal/>
    </border>
    <border>
      <left/>
      <right style="medium">
        <color indexed="8"/>
      </right>
      <top/>
      <bottom style="medium">
        <color indexed="8"/>
      </bottom>
      <diagonal/>
    </border>
    <border>
      <left style="thin">
        <color indexed="64"/>
      </left>
      <right style="thin">
        <color indexed="64"/>
      </right>
      <top/>
      <bottom/>
      <diagonal/>
    </border>
  </borders>
  <cellStyleXfs count="14">
    <xf numFmtId="0" fontId="0" fillId="0" borderId="0"/>
    <xf numFmtId="0" fontId="2" fillId="2" borderId="1" applyNumberFormat="0" applyAlignment="0" applyProtection="0"/>
    <xf numFmtId="0" fontId="1" fillId="0" borderId="0"/>
    <xf numFmtId="0" fontId="1" fillId="0" borderId="0"/>
    <xf numFmtId="0" fontId="1" fillId="0" borderId="0"/>
    <xf numFmtId="0" fontId="7" fillId="0" borderId="0"/>
    <xf numFmtId="0" fontId="26" fillId="8" borderId="0" applyNumberFormat="0" applyBorder="0" applyAlignment="0" applyProtection="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xf numFmtId="0" fontId="49" fillId="0" borderId="0"/>
  </cellStyleXfs>
  <cellXfs count="441">
    <xf numFmtId="0" fontId="0" fillId="0" borderId="0" xfId="0"/>
    <xf numFmtId="0" fontId="3" fillId="0" borderId="0" xfId="0" applyFont="1"/>
    <xf numFmtId="0" fontId="8" fillId="0" borderId="0" xfId="0" applyFont="1"/>
    <xf numFmtId="0" fontId="8" fillId="0" borderId="3" xfId="0" applyFont="1" applyBorder="1"/>
    <xf numFmtId="0" fontId="0" fillId="0" borderId="3" xfId="0" applyBorder="1" applyAlignment="1">
      <alignment horizontal="center" vertical="center"/>
    </xf>
    <xf numFmtId="0" fontId="10" fillId="0" borderId="0" xfId="0" applyFont="1" applyAlignment="1">
      <alignment vertical="center"/>
    </xf>
    <xf numFmtId="0" fontId="3" fillId="0" borderId="3" xfId="0" applyFont="1" applyBorder="1" applyAlignment="1">
      <alignment horizontal="center" vertical="center" wrapText="1"/>
    </xf>
    <xf numFmtId="0" fontId="6" fillId="5" borderId="3" xfId="0" applyFont="1" applyFill="1" applyBorder="1" applyAlignment="1" applyProtection="1">
      <alignment horizontal="left" vertical="center" wrapText="1"/>
      <protection locked="0"/>
    </xf>
    <xf numFmtId="0" fontId="5" fillId="5" borderId="3" xfId="0" applyFont="1" applyFill="1" applyBorder="1" applyAlignment="1" applyProtection="1">
      <alignment vertical="center" wrapText="1"/>
      <protection locked="0"/>
    </xf>
    <xf numFmtId="0" fontId="3" fillId="5" borderId="3" xfId="0" applyFont="1" applyFill="1" applyBorder="1" applyAlignment="1" applyProtection="1">
      <alignment horizontal="center" vertical="center" wrapText="1"/>
      <protection locked="0"/>
    </xf>
    <xf numFmtId="0" fontId="0" fillId="0" borderId="3" xfId="0" applyBorder="1" applyAlignment="1">
      <alignment horizontal="center" vertical="center" wrapText="1"/>
    </xf>
    <xf numFmtId="0" fontId="0" fillId="0" borderId="3" xfId="0" applyFont="1" applyBorder="1" applyAlignment="1">
      <alignment horizontal="left" vertical="center" wrapText="1"/>
    </xf>
    <xf numFmtId="0" fontId="0" fillId="0" borderId="0" xfId="0" applyAlignment="1">
      <alignment horizontal="center" vertical="center"/>
    </xf>
    <xf numFmtId="0" fontId="4" fillId="3" borderId="3" xfId="2" applyFont="1" applyFill="1" applyBorder="1" applyAlignment="1" applyProtection="1">
      <alignment horizontal="left" vertical="center" wrapText="1"/>
      <protection locked="0"/>
    </xf>
    <xf numFmtId="0" fontId="4" fillId="3" borderId="3" xfId="2" applyFont="1" applyFill="1" applyBorder="1" applyAlignment="1" applyProtection="1">
      <alignment horizontal="center" vertical="center" wrapText="1"/>
      <protection locked="0"/>
    </xf>
    <xf numFmtId="0" fontId="0" fillId="0" borderId="3" xfId="0" applyBorder="1" applyAlignment="1" applyProtection="1">
      <alignment vertical="center" wrapText="1"/>
      <protection locked="0"/>
    </xf>
    <xf numFmtId="0" fontId="0" fillId="0" borderId="3" xfId="0" applyBorder="1" applyAlignment="1" applyProtection="1">
      <alignment horizontal="right" vertical="center" wrapText="1"/>
      <protection locked="0"/>
    </xf>
    <xf numFmtId="0" fontId="2" fillId="2" borderId="3" xfId="1" applyBorder="1" applyAlignment="1" applyProtection="1">
      <alignment horizontal="center" vertical="center" wrapText="1"/>
      <protection locked="0"/>
    </xf>
    <xf numFmtId="0" fontId="6" fillId="0" borderId="3" xfId="2" applyFont="1" applyBorder="1" applyAlignment="1" applyProtection="1">
      <alignment horizontal="left" vertical="center" wrapText="1"/>
      <protection locked="0"/>
    </xf>
    <xf numFmtId="0" fontId="6" fillId="0" borderId="3" xfId="2" applyFont="1" applyBorder="1" applyAlignment="1" applyProtection="1">
      <alignment vertical="center" wrapText="1"/>
      <protection locked="0"/>
    </xf>
    <xf numFmtId="0" fontId="0" fillId="0" borderId="0" xfId="0" applyAlignment="1">
      <alignment vertical="center" wrapText="1"/>
    </xf>
    <xf numFmtId="0" fontId="0" fillId="4" borderId="3" xfId="0" applyFill="1" applyBorder="1" applyAlignment="1" applyProtection="1">
      <alignment vertical="center" wrapText="1"/>
      <protection locked="0"/>
    </xf>
    <xf numFmtId="0" fontId="3" fillId="4" borderId="3" xfId="0" applyFont="1" applyFill="1" applyBorder="1" applyAlignment="1" applyProtection="1">
      <alignment vertical="center" wrapText="1"/>
      <protection locked="0"/>
    </xf>
    <xf numFmtId="0" fontId="6" fillId="5" borderId="3" xfId="0" applyFont="1" applyFill="1" applyBorder="1" applyAlignment="1" applyProtection="1">
      <alignment vertical="center" wrapText="1"/>
      <protection locked="0"/>
    </xf>
    <xf numFmtId="0" fontId="5" fillId="5" borderId="3" xfId="2" applyFont="1" applyFill="1" applyBorder="1" applyAlignment="1" applyProtection="1">
      <alignment vertical="center" wrapText="1"/>
      <protection locked="0"/>
    </xf>
    <xf numFmtId="0" fontId="0" fillId="7" borderId="3" xfId="0" applyFill="1" applyBorder="1" applyAlignment="1" applyProtection="1">
      <alignment horizontal="center" vertical="center" wrapText="1"/>
      <protection locked="0"/>
    </xf>
    <xf numFmtId="0" fontId="2" fillId="2" borderId="3" xfId="1" applyBorder="1" applyAlignment="1" applyProtection="1">
      <alignment vertical="center" wrapText="1"/>
      <protection locked="0"/>
    </xf>
    <xf numFmtId="0" fontId="0" fillId="0" borderId="3" xfId="0" applyBorder="1" applyAlignment="1" applyProtection="1">
      <alignment horizontal="left" vertical="center" wrapText="1"/>
      <protection locked="0"/>
    </xf>
    <xf numFmtId="0" fontId="0" fillId="0" borderId="3" xfId="0" applyFill="1" applyBorder="1" applyAlignment="1" applyProtection="1">
      <alignment horizontal="left" vertical="center" wrapText="1"/>
      <protection locked="0"/>
    </xf>
    <xf numFmtId="0" fontId="0" fillId="5" borderId="3" xfId="0" applyFill="1" applyBorder="1" applyAlignment="1" applyProtection="1">
      <alignment horizontal="center" vertical="center" wrapText="1"/>
      <protection locked="0"/>
    </xf>
    <xf numFmtId="0" fontId="2" fillId="2" borderId="3" xfId="1" applyBorder="1" applyAlignment="1" applyProtection="1">
      <alignment horizontal="left" vertical="center" wrapText="1"/>
      <protection locked="0"/>
    </xf>
    <xf numFmtId="0" fontId="3" fillId="5" borderId="3" xfId="0" applyFont="1" applyFill="1" applyBorder="1" applyAlignment="1" applyProtection="1">
      <alignment vertical="center" wrapText="1"/>
      <protection locked="0"/>
    </xf>
    <xf numFmtId="0" fontId="0" fillId="5" borderId="3" xfId="0" applyFill="1" applyBorder="1" applyAlignment="1" applyProtection="1">
      <alignment vertical="center" wrapText="1"/>
      <protection locked="0"/>
    </xf>
    <xf numFmtId="0" fontId="0" fillId="7" borderId="3" xfId="0" applyFill="1" applyBorder="1" applyAlignment="1" applyProtection="1">
      <alignment vertical="center" wrapText="1"/>
      <protection locked="0"/>
    </xf>
    <xf numFmtId="0" fontId="0" fillId="0" borderId="3" xfId="0" applyFill="1" applyBorder="1" applyAlignment="1" applyProtection="1">
      <alignment vertical="center" wrapText="1"/>
      <protection locked="0"/>
    </xf>
    <xf numFmtId="0" fontId="0" fillId="0" borderId="3" xfId="0" applyFill="1" applyBorder="1" applyAlignment="1" applyProtection="1">
      <alignment horizontal="center" vertical="center" wrapText="1"/>
      <protection locked="0"/>
    </xf>
    <xf numFmtId="0" fontId="0" fillId="0" borderId="0" xfId="0" applyFill="1" applyAlignment="1">
      <alignment vertical="center" wrapText="1"/>
    </xf>
    <xf numFmtId="0" fontId="0" fillId="0" borderId="3" xfId="0" applyFill="1" applyBorder="1" applyAlignment="1" applyProtection="1">
      <alignment horizontal="right" vertical="center" wrapText="1"/>
      <protection locked="0"/>
    </xf>
    <xf numFmtId="2" fontId="0" fillId="0" borderId="3" xfId="0" applyNumberFormat="1" applyBorder="1" applyAlignment="1" applyProtection="1">
      <alignment horizontal="center" vertical="center" wrapText="1"/>
      <protection locked="0"/>
    </xf>
    <xf numFmtId="0" fontId="13" fillId="0" borderId="3" xfId="0" applyFont="1" applyBorder="1" applyAlignment="1">
      <alignment vertical="center" wrapText="1"/>
    </xf>
    <xf numFmtId="0" fontId="8" fillId="7" borderId="3" xfId="0" applyFont="1" applyFill="1" applyBorder="1" applyAlignment="1">
      <alignment horizontal="left" vertical="center" wrapText="1"/>
    </xf>
    <xf numFmtId="0" fontId="8" fillId="0" borderId="3" xfId="0" applyFont="1" applyBorder="1" applyAlignment="1">
      <alignment horizontal="center" vertical="center" wrapText="1"/>
    </xf>
    <xf numFmtId="0" fontId="8" fillId="0" borderId="3" xfId="0" applyFont="1" applyBorder="1" applyAlignment="1">
      <alignment horizontal="center" wrapText="1"/>
    </xf>
    <xf numFmtId="0" fontId="8" fillId="0" borderId="16" xfId="0" applyFont="1" applyBorder="1" applyAlignment="1">
      <alignment vertical="center" wrapText="1"/>
    </xf>
    <xf numFmtId="0" fontId="8" fillId="0" borderId="3" xfId="0" applyFont="1" applyBorder="1" applyAlignment="1">
      <alignment vertical="center" wrapText="1"/>
    </xf>
    <xf numFmtId="2" fontId="8" fillId="0" borderId="3" xfId="0" applyNumberFormat="1" applyFont="1" applyBorder="1" applyAlignment="1">
      <alignment horizontal="center" vertical="center" wrapText="1"/>
    </xf>
    <xf numFmtId="0" fontId="23" fillId="7" borderId="3" xfId="0" applyFont="1" applyFill="1" applyBorder="1" applyAlignment="1">
      <alignment horizontal="left" vertical="center" wrapText="1"/>
    </xf>
    <xf numFmtId="0" fontId="8" fillId="0" borderId="3" xfId="0" applyFont="1" applyBorder="1" applyAlignment="1">
      <alignment horizontal="left" vertical="center" wrapText="1" indent="3"/>
    </xf>
    <xf numFmtId="0" fontId="5" fillId="0" borderId="3" xfId="0" applyFont="1" applyFill="1" applyBorder="1" applyAlignment="1" applyProtection="1">
      <alignment vertical="center" wrapText="1"/>
      <protection locked="0"/>
    </xf>
    <xf numFmtId="0" fontId="6" fillId="0" borderId="3" xfId="0" applyFont="1" applyFill="1" applyBorder="1" applyAlignment="1" applyProtection="1">
      <alignment horizontal="left" vertical="center" wrapText="1"/>
      <protection locked="0"/>
    </xf>
    <xf numFmtId="0" fontId="6" fillId="0" borderId="3" xfId="0" applyFont="1" applyFill="1" applyBorder="1" applyAlignment="1" applyProtection="1">
      <alignment vertical="center" wrapText="1"/>
      <protection locked="0"/>
    </xf>
    <xf numFmtId="0" fontId="5" fillId="0" borderId="3" xfId="2" applyFont="1" applyFill="1" applyBorder="1" applyAlignment="1" applyProtection="1">
      <alignment vertical="center" wrapText="1"/>
      <protection locked="0"/>
    </xf>
    <xf numFmtId="0" fontId="6" fillId="0" borderId="3" xfId="2" applyFont="1" applyFill="1" applyBorder="1" applyAlignment="1" applyProtection="1">
      <alignment vertical="center" wrapText="1"/>
      <protection locked="0"/>
    </xf>
    <xf numFmtId="0" fontId="0" fillId="0" borderId="0" xfId="0" applyAlignment="1">
      <alignment vertical="center"/>
    </xf>
    <xf numFmtId="2" fontId="0" fillId="0" borderId="3" xfId="0" applyNumberFormat="1" applyBorder="1"/>
    <xf numFmtId="0" fontId="23" fillId="0" borderId="3" xfId="0" applyFont="1" applyBorder="1" applyAlignment="1">
      <alignment horizontal="left" vertical="center" wrapText="1" indent="5"/>
    </xf>
    <xf numFmtId="0" fontId="23" fillId="0" borderId="3" xfId="0" applyFont="1" applyBorder="1" applyAlignment="1">
      <alignment horizontal="center" vertical="center" wrapText="1"/>
    </xf>
    <xf numFmtId="0" fontId="23" fillId="0" borderId="16" xfId="0" applyFont="1" applyBorder="1" applyAlignment="1">
      <alignment vertical="center" wrapText="1"/>
    </xf>
    <xf numFmtId="0" fontId="0" fillId="0" borderId="0" xfId="0" applyAlignment="1">
      <alignment horizontal="center" vertical="center" wrapText="1"/>
    </xf>
    <xf numFmtId="2" fontId="4" fillId="3" borderId="3" xfId="2" applyNumberFormat="1" applyFont="1" applyFill="1" applyBorder="1" applyAlignment="1" applyProtection="1">
      <alignment horizontal="center" vertical="center" wrapText="1"/>
      <protection locked="0"/>
    </xf>
    <xf numFmtId="2" fontId="0" fillId="0" borderId="3" xfId="0" applyNumberFormat="1" applyFill="1" applyBorder="1" applyAlignment="1" applyProtection="1">
      <alignment horizontal="center" vertical="center" wrapText="1"/>
      <protection locked="0"/>
    </xf>
    <xf numFmtId="2" fontId="3" fillId="0" borderId="3" xfId="0" applyNumberFormat="1" applyFont="1" applyFill="1" applyBorder="1" applyAlignment="1" applyProtection="1">
      <alignment horizontal="center" vertical="center" wrapText="1"/>
      <protection locked="0"/>
    </xf>
    <xf numFmtId="2" fontId="3" fillId="5" borderId="3" xfId="0" applyNumberFormat="1" applyFont="1" applyFill="1" applyBorder="1" applyAlignment="1" applyProtection="1">
      <alignment horizontal="center" vertical="center" wrapText="1"/>
      <protection locked="0"/>
    </xf>
    <xf numFmtId="2" fontId="2" fillId="2" borderId="3" xfId="1" applyNumberFormat="1" applyBorder="1" applyAlignment="1" applyProtection="1">
      <alignment horizontal="center" vertical="center" wrapText="1"/>
      <protection locked="0"/>
    </xf>
    <xf numFmtId="2" fontId="3" fillId="4" borderId="3" xfId="0" applyNumberFormat="1" applyFont="1" applyFill="1" applyBorder="1" applyAlignment="1" applyProtection="1">
      <alignment horizontal="center" vertical="center" wrapText="1"/>
      <protection locked="0"/>
    </xf>
    <xf numFmtId="2" fontId="19" fillId="5" borderId="3" xfId="0" applyNumberFormat="1" applyFont="1" applyFill="1" applyBorder="1" applyAlignment="1" applyProtection="1">
      <alignment horizontal="center" vertical="center" wrapText="1"/>
      <protection locked="0"/>
    </xf>
    <xf numFmtId="2" fontId="5" fillId="5" borderId="3" xfId="0" applyNumberFormat="1" applyFont="1" applyFill="1" applyBorder="1" applyAlignment="1" applyProtection="1">
      <alignment horizontal="center" vertical="center" wrapText="1"/>
      <protection locked="0"/>
    </xf>
    <xf numFmtId="2" fontId="18" fillId="5" borderId="3" xfId="0" applyNumberFormat="1" applyFont="1" applyFill="1" applyBorder="1" applyAlignment="1" applyProtection="1">
      <alignment horizontal="center" vertical="center" wrapText="1"/>
      <protection locked="0"/>
    </xf>
    <xf numFmtId="2" fontId="0" fillId="7" borderId="3" xfId="0" applyNumberFormat="1" applyFill="1" applyBorder="1" applyAlignment="1" applyProtection="1">
      <alignment horizontal="center" vertical="center" wrapText="1"/>
      <protection locked="0"/>
    </xf>
    <xf numFmtId="0" fontId="29" fillId="0" borderId="3" xfId="2" applyFont="1" applyBorder="1" applyAlignment="1">
      <alignment horizontal="left" vertical="center" wrapText="1"/>
    </xf>
    <xf numFmtId="0" fontId="28" fillId="0" borderId="3" xfId="7" applyFont="1" applyBorder="1" applyAlignment="1">
      <alignment horizontal="left" vertical="center" wrapText="1"/>
    </xf>
    <xf numFmtId="0" fontId="29" fillId="0" borderId="3" xfId="7" applyFont="1" applyBorder="1" applyAlignment="1">
      <alignment horizontal="left" vertical="center" wrapText="1"/>
    </xf>
    <xf numFmtId="0" fontId="0" fillId="5" borderId="0" xfId="0" applyFill="1" applyAlignment="1">
      <alignment vertical="center" wrapText="1"/>
    </xf>
    <xf numFmtId="0" fontId="29" fillId="5" borderId="3" xfId="7" applyFont="1" applyFill="1" applyBorder="1" applyAlignment="1">
      <alignment horizontal="left" vertical="center" wrapText="1"/>
    </xf>
    <xf numFmtId="2" fontId="2" fillId="5" borderId="3" xfId="1" applyNumberFormat="1" applyFill="1" applyBorder="1" applyAlignment="1" applyProtection="1">
      <alignment horizontal="center" vertical="center" wrapText="1"/>
      <protection locked="0"/>
    </xf>
    <xf numFmtId="2" fontId="2" fillId="0" borderId="3" xfId="1" applyNumberFormat="1" applyFill="1" applyBorder="1" applyAlignment="1" applyProtection="1">
      <alignment horizontal="center" vertical="center" wrapText="1"/>
      <protection locked="0"/>
    </xf>
    <xf numFmtId="0" fontId="29" fillId="5" borderId="3" xfId="2" applyFont="1" applyFill="1" applyBorder="1" applyAlignment="1">
      <alignment horizontal="left" vertical="center" wrapText="1"/>
    </xf>
    <xf numFmtId="0" fontId="0" fillId="0" borderId="22" xfId="0" applyBorder="1" applyProtection="1">
      <protection locked="0"/>
    </xf>
    <xf numFmtId="0" fontId="5" fillId="5" borderId="3" xfId="0" applyFont="1" applyFill="1" applyBorder="1" applyAlignment="1" applyProtection="1">
      <alignment vertical="center"/>
      <protection locked="0"/>
    </xf>
    <xf numFmtId="0" fontId="5" fillId="5" borderId="4" xfId="0" applyFont="1" applyFill="1" applyBorder="1" applyAlignment="1" applyProtection="1">
      <alignment vertical="center"/>
      <protection locked="0"/>
    </xf>
    <xf numFmtId="0" fontId="0" fillId="0" borderId="0" xfId="0" applyProtection="1">
      <protection locked="0"/>
    </xf>
    <xf numFmtId="0" fontId="0" fillId="0" borderId="0" xfId="0" applyBorder="1" applyProtection="1">
      <protection locked="0"/>
    </xf>
    <xf numFmtId="0" fontId="0" fillId="0" borderId="23" xfId="0" applyBorder="1" applyProtection="1">
      <protection locked="0"/>
    </xf>
    <xf numFmtId="0" fontId="0" fillId="0" borderId="0" xfId="0" applyBorder="1" applyAlignment="1" applyProtection="1">
      <alignment wrapText="1"/>
      <protection locked="0"/>
    </xf>
    <xf numFmtId="0" fontId="0" fillId="0" borderId="0" xfId="0" applyFill="1" applyBorder="1" applyAlignment="1" applyProtection="1">
      <alignment wrapText="1"/>
      <protection locked="0"/>
    </xf>
    <xf numFmtId="0" fontId="31" fillId="0" borderId="0" xfId="4" applyFont="1" applyFill="1" applyBorder="1" applyAlignment="1" applyProtection="1">
      <alignment horizontal="center" vertical="center"/>
      <protection locked="0"/>
    </xf>
    <xf numFmtId="0" fontId="31" fillId="0" borderId="0" xfId="4" applyFont="1" applyFill="1" applyBorder="1" applyAlignment="1" applyProtection="1">
      <alignment vertical="center"/>
      <protection locked="0"/>
    </xf>
    <xf numFmtId="0" fontId="2" fillId="2" borderId="1" xfId="1" applyBorder="1" applyAlignment="1" applyProtection="1">
      <alignment wrapText="1"/>
      <protection locked="0"/>
    </xf>
    <xf numFmtId="0" fontId="31" fillId="0" borderId="0" xfId="5" applyFont="1" applyFill="1" applyBorder="1" applyAlignment="1" applyProtection="1">
      <alignment vertical="center" wrapText="1"/>
      <protection locked="0"/>
    </xf>
    <xf numFmtId="0" fontId="31" fillId="0" borderId="3" xfId="4" applyFont="1" applyFill="1" applyBorder="1" applyAlignment="1" applyProtection="1">
      <alignment horizontal="center" vertical="center"/>
      <protection locked="0"/>
    </xf>
    <xf numFmtId="0" fontId="31" fillId="0" borderId="3" xfId="5" applyFont="1" applyFill="1" applyBorder="1" applyAlignment="1" applyProtection="1">
      <alignment vertical="center" wrapText="1"/>
      <protection locked="0"/>
    </xf>
    <xf numFmtId="0" fontId="0" fillId="0" borderId="0" xfId="0" applyFill="1" applyBorder="1" applyProtection="1">
      <protection locked="0"/>
    </xf>
    <xf numFmtId="0" fontId="20" fillId="0" borderId="0" xfId="6" applyFont="1" applyFill="1" applyBorder="1" applyAlignment="1" applyProtection="1">
      <alignment wrapText="1"/>
      <protection locked="0"/>
    </xf>
    <xf numFmtId="0" fontId="0" fillId="0" borderId="3" xfId="0" applyBorder="1" applyAlignment="1" applyProtection="1">
      <alignment wrapText="1"/>
      <protection locked="0"/>
    </xf>
    <xf numFmtId="0" fontId="0" fillId="0" borderId="3" xfId="0" applyBorder="1" applyAlignment="1" applyProtection="1">
      <alignment vertical="top" wrapText="1"/>
      <protection locked="0"/>
    </xf>
    <xf numFmtId="0" fontId="0" fillId="0" borderId="3" xfId="0" applyFont="1" applyFill="1" applyBorder="1" applyAlignment="1" applyProtection="1">
      <alignment vertical="center" wrapText="1"/>
      <protection locked="0"/>
    </xf>
    <xf numFmtId="0" fontId="0" fillId="0" borderId="3" xfId="0" applyFont="1" applyBorder="1" applyAlignment="1" applyProtection="1">
      <alignment horizontal="left" vertical="center" wrapText="1"/>
      <protection locked="0"/>
    </xf>
    <xf numFmtId="0" fontId="0" fillId="0" borderId="3" xfId="0" applyFill="1" applyBorder="1" applyAlignment="1" applyProtection="1">
      <alignment wrapText="1"/>
      <protection locked="0"/>
    </xf>
    <xf numFmtId="0" fontId="5" fillId="0" borderId="3" xfId="0" applyFont="1" applyFill="1" applyBorder="1" applyAlignment="1" applyProtection="1">
      <alignment horizontal="center" vertical="center" wrapText="1"/>
      <protection locked="0"/>
    </xf>
    <xf numFmtId="0" fontId="6" fillId="0" borderId="3" xfId="3" applyNumberFormat="1" applyFont="1" applyBorder="1" applyAlignment="1" applyProtection="1">
      <alignment horizontal="left" vertical="center" wrapText="1"/>
      <protection locked="0"/>
    </xf>
    <xf numFmtId="0" fontId="6" fillId="5" borderId="3" xfId="2" applyFont="1" applyFill="1" applyBorder="1" applyAlignment="1" applyProtection="1">
      <alignment vertical="center" wrapText="1"/>
      <protection locked="0"/>
    </xf>
    <xf numFmtId="0" fontId="6" fillId="5" borderId="3" xfId="2" applyFont="1" applyFill="1" applyBorder="1" applyAlignment="1" applyProtection="1">
      <alignment horizontal="left" vertical="center" wrapText="1"/>
      <protection locked="0"/>
    </xf>
    <xf numFmtId="0" fontId="20" fillId="0" borderId="0" xfId="1" applyFont="1" applyFill="1" applyBorder="1" applyAlignment="1" applyProtection="1">
      <alignment wrapText="1"/>
      <protection locked="0"/>
    </xf>
    <xf numFmtId="0" fontId="5" fillId="5" borderId="3" xfId="0" applyFont="1" applyFill="1" applyBorder="1" applyAlignment="1" applyProtection="1">
      <alignment horizontal="center" vertical="center" wrapText="1"/>
      <protection locked="0"/>
    </xf>
    <xf numFmtId="2" fontId="2" fillId="4" borderId="3" xfId="1" applyNumberFormat="1" applyFont="1" applyFill="1" applyBorder="1" applyAlignment="1" applyProtection="1">
      <alignment horizontal="center" vertical="center" wrapText="1"/>
      <protection locked="0"/>
    </xf>
    <xf numFmtId="2" fontId="24" fillId="0" borderId="3" xfId="0" applyNumberFormat="1" applyFont="1" applyBorder="1" applyAlignment="1" applyProtection="1">
      <alignment horizontal="center" vertical="center" wrapText="1"/>
      <protection locked="0"/>
    </xf>
    <xf numFmtId="2" fontId="0" fillId="5" borderId="3" xfId="0" applyNumberFormat="1" applyFill="1" applyBorder="1" applyAlignment="1" applyProtection="1">
      <alignment horizontal="center" vertical="center" wrapText="1"/>
      <protection locked="0"/>
    </xf>
    <xf numFmtId="0" fontId="5" fillId="5" borderId="3" xfId="0" applyFont="1" applyFill="1" applyBorder="1" applyAlignment="1" applyProtection="1">
      <alignment horizontal="center" vertical="center"/>
      <protection locked="0"/>
    </xf>
    <xf numFmtId="0" fontId="0" fillId="0" borderId="0" xfId="0" applyBorder="1" applyAlignment="1" applyProtection="1">
      <alignment horizontal="center"/>
      <protection locked="0"/>
    </xf>
    <xf numFmtId="0" fontId="2" fillId="2" borderId="1" xfId="1" applyBorder="1" applyAlignment="1" applyProtection="1">
      <alignment horizontal="center"/>
      <protection locked="0"/>
    </xf>
    <xf numFmtId="2" fontId="0" fillId="0" borderId="0" xfId="0" applyNumberFormat="1" applyAlignment="1">
      <alignment horizontal="center" vertical="center" wrapText="1"/>
    </xf>
    <xf numFmtId="0" fontId="3" fillId="9" borderId="3" xfId="0" applyFont="1" applyFill="1" applyBorder="1" applyAlignment="1" applyProtection="1">
      <alignment vertical="center" wrapText="1"/>
      <protection locked="0"/>
    </xf>
    <xf numFmtId="0" fontId="0" fillId="9" borderId="3" xfId="0" applyFill="1" applyBorder="1" applyAlignment="1" applyProtection="1">
      <alignment vertical="center" wrapText="1"/>
      <protection locked="0"/>
    </xf>
    <xf numFmtId="2" fontId="0" fillId="9" borderId="3" xfId="0" applyNumberFormat="1" applyFill="1" applyBorder="1" applyAlignment="1" applyProtection="1">
      <alignment horizontal="center" vertical="center" wrapText="1"/>
      <protection locked="0"/>
    </xf>
    <xf numFmtId="0" fontId="3" fillId="9" borderId="3" xfId="0" applyFont="1" applyFill="1" applyBorder="1" applyAlignment="1" applyProtection="1">
      <alignment horizontal="center" vertical="center" wrapText="1"/>
      <protection locked="0"/>
    </xf>
    <xf numFmtId="2" fontId="3" fillId="9" borderId="3" xfId="0" applyNumberFormat="1" applyFont="1" applyFill="1" applyBorder="1" applyAlignment="1" applyProtection="1">
      <alignment horizontal="center" vertical="center" wrapText="1"/>
      <protection locked="0"/>
    </xf>
    <xf numFmtId="0" fontId="5" fillId="5" borderId="3" xfId="0" applyFont="1" applyFill="1" applyBorder="1" applyAlignment="1" applyProtection="1">
      <alignment horizontal="left" vertical="center" wrapText="1"/>
      <protection locked="0"/>
    </xf>
    <xf numFmtId="0" fontId="0" fillId="0" borderId="0" xfId="0" applyAlignment="1" applyProtection="1">
      <alignment wrapText="1"/>
      <protection locked="0"/>
    </xf>
    <xf numFmtId="0" fontId="32" fillId="10" borderId="3" xfId="2" applyFont="1" applyFill="1" applyBorder="1" applyAlignment="1">
      <alignment horizontal="center" vertical="center" wrapText="1"/>
    </xf>
    <xf numFmtId="0" fontId="32" fillId="10" borderId="3" xfId="2" applyFont="1" applyFill="1" applyBorder="1" applyAlignment="1" applyProtection="1">
      <alignment horizontal="center" vertical="center" wrapText="1"/>
      <protection locked="0"/>
    </xf>
    <xf numFmtId="0" fontId="3" fillId="5" borderId="3" xfId="0" applyFont="1" applyFill="1" applyBorder="1" applyAlignment="1" applyProtection="1">
      <alignment horizontal="left" vertical="center" wrapText="1"/>
      <protection locked="0"/>
    </xf>
    <xf numFmtId="0" fontId="0" fillId="0" borderId="3" xfId="0" applyFill="1" applyBorder="1" applyAlignment="1" applyProtection="1">
      <alignment horizontal="right" wrapText="1"/>
      <protection locked="0"/>
    </xf>
    <xf numFmtId="0" fontId="3" fillId="0" borderId="3" xfId="0" applyFont="1" applyFill="1" applyBorder="1" applyAlignment="1" applyProtection="1">
      <alignment horizontal="left" vertical="center" wrapText="1"/>
      <protection locked="0"/>
    </xf>
    <xf numFmtId="0" fontId="3" fillId="0" borderId="3" xfId="0" applyFont="1" applyFill="1" applyBorder="1" applyAlignment="1" applyProtection="1">
      <alignment vertical="center" wrapText="1"/>
      <protection locked="0"/>
    </xf>
    <xf numFmtId="0" fontId="5" fillId="9" borderId="3" xfId="0" applyFont="1" applyFill="1" applyBorder="1" applyAlignment="1" applyProtection="1">
      <alignment vertical="center" wrapText="1"/>
      <protection locked="0"/>
    </xf>
    <xf numFmtId="0" fontId="0" fillId="0" borderId="2" xfId="0" applyBorder="1" applyAlignment="1">
      <alignment horizontal="center" vertical="center" wrapText="1"/>
    </xf>
    <xf numFmtId="0" fontId="0" fillId="11" borderId="3" xfId="0" applyFill="1" applyBorder="1" applyAlignment="1" applyProtection="1">
      <alignment horizontal="center" vertical="center" wrapText="1"/>
      <protection locked="0"/>
    </xf>
    <xf numFmtId="0" fontId="0" fillId="9" borderId="3" xfId="0" applyFill="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3" fillId="0" borderId="3" xfId="0" applyFont="1" applyBorder="1" applyAlignment="1">
      <alignment horizontal="center" vertical="center"/>
    </xf>
    <xf numFmtId="0" fontId="31" fillId="5" borderId="3" xfId="0" applyFont="1" applyFill="1" applyBorder="1" applyAlignment="1" applyProtection="1">
      <alignment vertical="center" wrapText="1"/>
      <protection locked="0"/>
    </xf>
    <xf numFmtId="0" fontId="0" fillId="12" borderId="3" xfId="0" applyFill="1" applyBorder="1" applyAlignment="1" applyProtection="1">
      <alignment vertical="center" wrapText="1"/>
      <protection locked="0"/>
    </xf>
    <xf numFmtId="0" fontId="0" fillId="12" borderId="3" xfId="0" applyFill="1" applyBorder="1" applyAlignment="1" applyProtection="1">
      <alignment horizontal="center" vertical="center" wrapText="1"/>
      <protection locked="0"/>
    </xf>
    <xf numFmtId="0" fontId="3" fillId="12" borderId="3" xfId="0" applyFont="1" applyFill="1" applyBorder="1" applyAlignment="1" applyProtection="1">
      <alignment vertical="center" wrapText="1"/>
      <protection locked="0"/>
    </xf>
    <xf numFmtId="0" fontId="3" fillId="12" borderId="3" xfId="0" applyFont="1" applyFill="1" applyBorder="1" applyAlignment="1" applyProtection="1">
      <alignment horizontal="center" vertical="center" wrapText="1"/>
      <protection locked="0"/>
    </xf>
    <xf numFmtId="2" fontId="3" fillId="12" borderId="3" xfId="0" applyNumberFormat="1" applyFont="1" applyFill="1" applyBorder="1" applyAlignment="1" applyProtection="1">
      <alignment horizontal="center" vertical="center" wrapText="1"/>
      <protection locked="0"/>
    </xf>
    <xf numFmtId="0" fontId="0" fillId="13" borderId="3" xfId="0" applyFill="1" applyBorder="1" applyAlignment="1" applyProtection="1">
      <alignment vertical="center" wrapText="1"/>
      <protection locked="0"/>
    </xf>
    <xf numFmtId="0" fontId="0" fillId="13" borderId="3" xfId="0" applyFill="1" applyBorder="1" applyAlignment="1" applyProtection="1">
      <alignment horizontal="center" vertical="center" wrapText="1"/>
      <protection locked="0"/>
    </xf>
    <xf numFmtId="2" fontId="0" fillId="13" borderId="3" xfId="0" applyNumberFormat="1" applyFill="1" applyBorder="1" applyAlignment="1" applyProtection="1">
      <alignment horizontal="center" vertical="center" wrapText="1"/>
      <protection locked="0"/>
    </xf>
    <xf numFmtId="0" fontId="0" fillId="0" borderId="3" xfId="0" applyBorder="1" applyAlignment="1" applyProtection="1">
      <alignment horizontal="center" wrapText="1"/>
      <protection locked="0"/>
    </xf>
    <xf numFmtId="2" fontId="3" fillId="0" borderId="3" xfId="0" applyNumberFormat="1" applyFont="1" applyBorder="1" applyAlignment="1" applyProtection="1">
      <alignment horizontal="center" vertical="center" wrapText="1"/>
      <protection locked="0"/>
    </xf>
    <xf numFmtId="0" fontId="0" fillId="0" borderId="0" xfId="0" applyAlignment="1" applyProtection="1">
      <alignment vertical="center" wrapText="1"/>
      <protection locked="0"/>
    </xf>
    <xf numFmtId="0" fontId="0" fillId="5" borderId="3" xfId="0" applyFill="1" applyBorder="1" applyAlignment="1" applyProtection="1">
      <alignment horizontal="left" vertical="center" wrapText="1"/>
      <protection locked="0"/>
    </xf>
    <xf numFmtId="0" fontId="0" fillId="5" borderId="0" xfId="0" applyFill="1" applyAlignment="1" applyProtection="1">
      <alignment vertical="center" wrapText="1"/>
      <protection locked="0"/>
    </xf>
    <xf numFmtId="0" fontId="0" fillId="0" borderId="0" xfId="0" applyFill="1" applyAlignment="1" applyProtection="1">
      <alignment vertical="center" wrapText="1"/>
      <protection locked="0"/>
    </xf>
    <xf numFmtId="0" fontId="29" fillId="5" borderId="3" xfId="0" applyFont="1" applyFill="1" applyBorder="1" applyAlignment="1" applyProtection="1">
      <alignment horizontal="left" vertical="center" wrapText="1"/>
      <protection locked="0"/>
    </xf>
    <xf numFmtId="0" fontId="29" fillId="0" borderId="3" xfId="0" applyFont="1" applyBorder="1" applyAlignment="1" applyProtection="1">
      <alignment horizontal="left" vertical="center" wrapText="1"/>
      <protection locked="0"/>
    </xf>
    <xf numFmtId="0" fontId="1" fillId="5" borderId="3" xfId="0" applyFont="1" applyFill="1" applyBorder="1" applyAlignment="1" applyProtection="1">
      <alignment horizontal="left" vertical="center" wrapText="1"/>
      <protection locked="0"/>
    </xf>
    <xf numFmtId="0" fontId="29" fillId="5" borderId="3" xfId="2" applyFont="1" applyFill="1" applyBorder="1" applyAlignment="1" applyProtection="1">
      <alignment horizontal="left" vertical="center" wrapText="1"/>
      <protection locked="0"/>
    </xf>
    <xf numFmtId="0" fontId="28" fillId="5" borderId="3" xfId="2" applyFont="1" applyFill="1" applyBorder="1" applyAlignment="1" applyProtection="1">
      <alignment horizontal="left" vertical="center" wrapText="1"/>
      <protection locked="0"/>
    </xf>
    <xf numFmtId="0" fontId="29" fillId="0" borderId="3" xfId="2" applyFont="1" applyFill="1" applyBorder="1" applyAlignment="1" applyProtection="1">
      <alignment horizontal="left" vertical="center" wrapText="1"/>
      <protection locked="0"/>
    </xf>
    <xf numFmtId="0" fontId="28" fillId="0" borderId="3" xfId="2" applyFont="1" applyFill="1" applyBorder="1" applyAlignment="1" applyProtection="1">
      <alignment horizontal="left" vertical="center" wrapText="1"/>
      <protection locked="0"/>
    </xf>
    <xf numFmtId="0" fontId="29" fillId="0" borderId="3" xfId="0" applyFont="1" applyFill="1" applyBorder="1" applyAlignment="1" applyProtection="1">
      <alignment horizontal="left" vertical="center" wrapText="1"/>
      <protection locked="0"/>
    </xf>
    <xf numFmtId="0" fontId="28" fillId="0" borderId="3" xfId="5" applyFont="1" applyBorder="1" applyAlignment="1" applyProtection="1">
      <alignment horizontal="left" vertical="center" wrapText="1"/>
      <protection locked="0"/>
    </xf>
    <xf numFmtId="0" fontId="28" fillId="0" borderId="3" xfId="5" applyFont="1" applyFill="1" applyBorder="1" applyAlignment="1" applyProtection="1">
      <alignment horizontal="left" vertical="center" wrapText="1"/>
      <protection locked="0"/>
    </xf>
    <xf numFmtId="0" fontId="19" fillId="12" borderId="3" xfId="5" applyFont="1" applyFill="1" applyBorder="1" applyAlignment="1" applyProtection="1">
      <alignment horizontal="left" vertical="center" wrapText="1"/>
      <protection locked="0"/>
    </xf>
    <xf numFmtId="0" fontId="3" fillId="12" borderId="3" xfId="0" applyFont="1" applyFill="1" applyBorder="1" applyAlignment="1" applyProtection="1">
      <alignment horizontal="left" vertical="center" wrapText="1"/>
      <protection locked="0"/>
    </xf>
    <xf numFmtId="0" fontId="3" fillId="12" borderId="0" xfId="0" applyFont="1" applyFill="1" applyAlignment="1" applyProtection="1">
      <alignment vertical="center" wrapText="1"/>
      <protection locked="0"/>
    </xf>
    <xf numFmtId="0" fontId="1" fillId="0" borderId="3" xfId="10" applyBorder="1" applyAlignment="1" applyProtection="1">
      <alignment horizontal="left" vertical="center" wrapText="1"/>
      <protection locked="0"/>
    </xf>
    <xf numFmtId="2" fontId="20" fillId="0" borderId="3" xfId="5" applyNumberFormat="1" applyFont="1" applyBorder="1" applyAlignment="1" applyProtection="1">
      <alignment vertical="center" wrapText="1"/>
      <protection locked="0"/>
    </xf>
    <xf numFmtId="0" fontId="0" fillId="13" borderId="0" xfId="0" applyFill="1" applyAlignment="1" applyProtection="1">
      <alignment vertical="center" wrapText="1"/>
      <protection locked="0"/>
    </xf>
    <xf numFmtId="0" fontId="28" fillId="13" borderId="3" xfId="5" applyFont="1" applyFill="1" applyBorder="1" applyAlignment="1" applyProtection="1">
      <alignment horizontal="left" vertical="center" wrapText="1"/>
      <protection locked="0"/>
    </xf>
    <xf numFmtId="0" fontId="28" fillId="13" borderId="3" xfId="5" applyFont="1" applyFill="1" applyBorder="1" applyAlignment="1" applyProtection="1">
      <alignment vertical="center" wrapText="1"/>
      <protection locked="0"/>
    </xf>
    <xf numFmtId="0" fontId="28" fillId="13" borderId="3" xfId="2" applyFont="1" applyFill="1" applyBorder="1" applyAlignment="1" applyProtection="1">
      <alignment horizontal="center" vertical="center" wrapText="1"/>
      <protection locked="0"/>
    </xf>
    <xf numFmtId="0" fontId="28" fillId="0" borderId="3" xfId="2" applyFont="1" applyFill="1" applyBorder="1" applyAlignment="1" applyProtection="1">
      <alignment horizontal="center" vertical="center" wrapText="1"/>
      <protection locked="0"/>
    </xf>
    <xf numFmtId="0" fontId="3" fillId="4" borderId="0" xfId="0" applyFont="1" applyFill="1" applyAlignment="1" applyProtection="1">
      <alignment vertical="center" wrapText="1"/>
      <protection locked="0"/>
    </xf>
    <xf numFmtId="0" fontId="28" fillId="0" borderId="3" xfId="5" applyFont="1" applyFill="1" applyBorder="1" applyAlignment="1" applyProtection="1">
      <alignment vertical="center" wrapText="1"/>
      <protection locked="0"/>
    </xf>
    <xf numFmtId="0" fontId="0" fillId="0" borderId="3" xfId="0" applyFont="1" applyFill="1" applyBorder="1" applyAlignment="1" applyProtection="1">
      <alignment horizontal="center" vertical="center" wrapText="1"/>
      <protection locked="0"/>
    </xf>
    <xf numFmtId="0" fontId="29" fillId="5" borderId="3" xfId="7" applyFont="1" applyFill="1" applyBorder="1" applyAlignment="1" applyProtection="1">
      <alignment vertical="center" wrapText="1"/>
      <protection locked="0"/>
    </xf>
    <xf numFmtId="0" fontId="28" fillId="0" borderId="3" xfId="7" applyFont="1" applyFill="1" applyBorder="1" applyAlignment="1" applyProtection="1">
      <alignment horizontal="left" vertical="center" wrapText="1"/>
      <protection locked="0"/>
    </xf>
    <xf numFmtId="0" fontId="28" fillId="0" borderId="3" xfId="7" applyFont="1" applyFill="1" applyBorder="1" applyAlignment="1" applyProtection="1">
      <alignment vertical="center" wrapText="1"/>
      <protection locked="0"/>
    </xf>
    <xf numFmtId="0" fontId="0" fillId="9" borderId="0" xfId="0" applyFill="1" applyAlignment="1" applyProtection="1">
      <alignment vertical="center" wrapText="1"/>
      <protection locked="0"/>
    </xf>
    <xf numFmtId="0" fontId="30" fillId="5" borderId="3" xfId="0" applyFont="1" applyFill="1" applyBorder="1" applyAlignment="1" applyProtection="1">
      <alignment wrapText="1"/>
      <protection locked="0"/>
    </xf>
    <xf numFmtId="0" fontId="0" fillId="0" borderId="0" xfId="0" applyAlignment="1" applyProtection="1">
      <alignment horizontal="center" vertical="center" wrapText="1"/>
      <protection locked="0"/>
    </xf>
    <xf numFmtId="2" fontId="0" fillId="0" borderId="0" xfId="0" applyNumberFormat="1" applyAlignment="1" applyProtection="1">
      <alignment horizontal="center" vertical="center" wrapText="1"/>
      <protection locked="0"/>
    </xf>
    <xf numFmtId="0" fontId="5" fillId="12" borderId="3" xfId="0" applyFont="1" applyFill="1" applyBorder="1" applyAlignment="1" applyProtection="1">
      <alignment vertical="center" wrapText="1"/>
      <protection locked="0"/>
    </xf>
    <xf numFmtId="0" fontId="5" fillId="12" borderId="3" xfId="0" applyFont="1" applyFill="1" applyBorder="1" applyAlignment="1" applyProtection="1">
      <alignment horizontal="center" vertical="center" wrapText="1"/>
      <protection locked="0"/>
    </xf>
    <xf numFmtId="0" fontId="0" fillId="12" borderId="0" xfId="0" applyFill="1" applyAlignment="1" applyProtection="1">
      <alignment vertical="center" wrapText="1"/>
      <protection locked="0"/>
    </xf>
    <xf numFmtId="0" fontId="18" fillId="12" borderId="3" xfId="0" applyFont="1" applyFill="1" applyBorder="1" applyAlignment="1" applyProtection="1">
      <alignment vertical="center" wrapText="1"/>
      <protection locked="0"/>
    </xf>
    <xf numFmtId="2" fontId="33" fillId="12" borderId="3" xfId="1" applyNumberFormat="1" applyFont="1" applyFill="1" applyBorder="1" applyAlignment="1" applyProtection="1">
      <alignment horizontal="center" vertical="center" wrapText="1"/>
      <protection locked="0"/>
    </xf>
    <xf numFmtId="2" fontId="18" fillId="12" borderId="3" xfId="0" applyNumberFormat="1" applyFont="1" applyFill="1" applyBorder="1" applyAlignment="1" applyProtection="1">
      <alignment horizontal="center" vertical="center" wrapText="1"/>
      <protection locked="0"/>
    </xf>
    <xf numFmtId="0" fontId="18" fillId="5" borderId="3" xfId="0" applyFont="1" applyFill="1" applyBorder="1" applyAlignment="1" applyProtection="1">
      <alignment vertical="center" wrapText="1"/>
      <protection locked="0"/>
    </xf>
    <xf numFmtId="0" fontId="18" fillId="12" borderId="3" xfId="0" applyFont="1" applyFill="1" applyBorder="1" applyAlignment="1" applyProtection="1">
      <alignment horizontal="center" vertical="center" wrapText="1"/>
      <protection locked="0"/>
    </xf>
    <xf numFmtId="0" fontId="3" fillId="5" borderId="0" xfId="0" applyFont="1" applyFill="1" applyAlignment="1" applyProtection="1">
      <alignment vertical="center" wrapText="1"/>
      <protection locked="0"/>
    </xf>
    <xf numFmtId="0" fontId="34" fillId="12" borderId="3" xfId="5" applyFont="1" applyFill="1" applyBorder="1" applyAlignment="1" applyProtection="1">
      <alignment vertical="center" wrapText="1"/>
      <protection locked="0"/>
    </xf>
    <xf numFmtId="2" fontId="2" fillId="12" borderId="3" xfId="1" applyNumberFormat="1" applyFont="1" applyFill="1" applyBorder="1" applyAlignment="1" applyProtection="1">
      <alignment horizontal="center" vertical="center" wrapText="1"/>
      <protection locked="0"/>
    </xf>
    <xf numFmtId="0" fontId="0" fillId="14" borderId="3" xfId="0" applyFill="1" applyBorder="1" applyAlignment="1" applyProtection="1">
      <alignment vertical="top" wrapText="1"/>
      <protection locked="0"/>
    </xf>
    <xf numFmtId="0" fontId="28" fillId="14" borderId="3" xfId="2" applyFont="1" applyFill="1" applyBorder="1" applyAlignment="1" applyProtection="1">
      <alignment horizontal="center" vertical="center" wrapText="1"/>
      <protection locked="0"/>
    </xf>
    <xf numFmtId="0" fontId="0" fillId="14" borderId="3" xfId="0" applyFill="1" applyBorder="1" applyAlignment="1" applyProtection="1">
      <alignment vertical="center" wrapText="1"/>
      <protection locked="0"/>
    </xf>
    <xf numFmtId="0" fontId="0" fillId="14" borderId="3" xfId="0" applyFill="1" applyBorder="1" applyAlignment="1" applyProtection="1">
      <alignment horizontal="center" vertical="center" wrapText="1"/>
      <protection locked="0"/>
    </xf>
    <xf numFmtId="2" fontId="3" fillId="14" borderId="3" xfId="0" applyNumberFormat="1" applyFont="1" applyFill="1" applyBorder="1" applyAlignment="1" applyProtection="1">
      <alignment horizontal="center" vertical="center" wrapText="1"/>
      <protection locked="0"/>
    </xf>
    <xf numFmtId="0" fontId="19" fillId="0" borderId="3" xfId="5" applyFont="1" applyFill="1" applyBorder="1" applyAlignment="1" applyProtection="1">
      <alignment vertical="center" wrapText="1"/>
      <protection locked="0"/>
    </xf>
    <xf numFmtId="0" fontId="34" fillId="12" borderId="3" xfId="5" applyFont="1" applyFill="1" applyBorder="1" applyAlignment="1" applyProtection="1">
      <alignment horizontal="left" vertical="center" wrapText="1"/>
      <protection locked="0"/>
    </xf>
    <xf numFmtId="0" fontId="34" fillId="12" borderId="3" xfId="7" applyFont="1" applyFill="1" applyBorder="1" applyAlignment="1" applyProtection="1">
      <alignment horizontal="left" vertical="center" wrapText="1"/>
      <protection locked="0"/>
    </xf>
    <xf numFmtId="2" fontId="33" fillId="2" borderId="3" xfId="1" applyNumberFormat="1" applyFont="1" applyBorder="1" applyAlignment="1" applyProtection="1">
      <alignment horizontal="center" vertical="center" wrapText="1"/>
      <protection locked="0"/>
    </xf>
    <xf numFmtId="2" fontId="20" fillId="2" borderId="3" xfId="1" applyNumberFormat="1" applyFont="1" applyBorder="1" applyAlignment="1" applyProtection="1">
      <alignment horizontal="center" vertical="center" wrapText="1"/>
      <protection locked="0"/>
    </xf>
    <xf numFmtId="2" fontId="33" fillId="5" borderId="3" xfId="1" applyNumberFormat="1" applyFont="1" applyFill="1" applyBorder="1" applyAlignment="1" applyProtection="1">
      <alignment horizontal="center" vertical="center" wrapText="1"/>
      <protection locked="0"/>
    </xf>
    <xf numFmtId="0" fontId="28" fillId="12" borderId="3" xfId="8" applyFont="1" applyFill="1" applyBorder="1" applyAlignment="1" applyProtection="1">
      <alignment horizontal="left" vertical="center" wrapText="1"/>
      <protection locked="0"/>
    </xf>
    <xf numFmtId="0" fontId="19" fillId="12" borderId="3" xfId="8" quotePrefix="1" applyFont="1" applyFill="1" applyBorder="1" applyAlignment="1" applyProtection="1">
      <alignment horizontal="left" vertical="center" wrapText="1"/>
      <protection locked="0"/>
    </xf>
    <xf numFmtId="2" fontId="20" fillId="0" borderId="3" xfId="1" applyNumberFormat="1" applyFont="1" applyFill="1" applyBorder="1" applyAlignment="1" applyProtection="1">
      <alignment horizontal="center" vertical="center" wrapText="1"/>
      <protection locked="0"/>
    </xf>
    <xf numFmtId="0" fontId="18" fillId="5" borderId="3" xfId="0" applyFont="1" applyFill="1" applyBorder="1" applyAlignment="1" applyProtection="1">
      <alignment horizontal="center" vertical="center" wrapText="1"/>
      <protection locked="0"/>
    </xf>
    <xf numFmtId="2" fontId="3" fillId="15" borderId="3" xfId="0" applyNumberFormat="1" applyFont="1" applyFill="1" applyBorder="1" applyAlignment="1" applyProtection="1">
      <alignment horizontal="center" vertical="center" wrapText="1"/>
      <protection locked="0"/>
    </xf>
    <xf numFmtId="0" fontId="3" fillId="15" borderId="3" xfId="0" applyFont="1" applyFill="1" applyBorder="1" applyAlignment="1" applyProtection="1">
      <alignment vertical="center" wrapText="1"/>
      <protection locked="0"/>
    </xf>
    <xf numFmtId="0" fontId="0" fillId="15" borderId="0" xfId="0" applyFill="1" applyAlignment="1" applyProtection="1">
      <alignment vertical="center" wrapText="1"/>
      <protection locked="0"/>
    </xf>
    <xf numFmtId="0" fontId="3" fillId="0" borderId="0" xfId="0" applyFont="1" applyAlignment="1" applyProtection="1">
      <alignment vertical="center" wrapText="1"/>
      <protection locked="0"/>
    </xf>
    <xf numFmtId="0" fontId="0" fillId="4" borderId="0" xfId="0" applyFill="1" applyAlignment="1" applyProtection="1">
      <alignment vertical="center" wrapText="1"/>
      <protection locked="0"/>
    </xf>
    <xf numFmtId="0" fontId="35" fillId="5" borderId="3" xfId="0" applyFont="1" applyFill="1" applyBorder="1" applyAlignment="1">
      <alignment vertical="center"/>
    </xf>
    <xf numFmtId="0" fontId="0" fillId="0" borderId="3" xfId="0" applyFont="1" applyBorder="1" applyAlignment="1">
      <alignment horizontal="center" vertical="center"/>
    </xf>
    <xf numFmtId="2" fontId="0" fillId="0" borderId="3" xfId="0" applyNumberFormat="1" applyFont="1" applyBorder="1" applyAlignment="1">
      <alignment horizontal="center" vertical="center"/>
    </xf>
    <xf numFmtId="0" fontId="0" fillId="0" borderId="3" xfId="0" applyFont="1" applyBorder="1"/>
    <xf numFmtId="2" fontId="3" fillId="0" borderId="3" xfId="0" applyNumberFormat="1" applyFont="1" applyBorder="1" applyAlignment="1">
      <alignment horizontal="center" vertical="center"/>
    </xf>
    <xf numFmtId="0" fontId="3" fillId="0" borderId="0" xfId="0" applyFont="1" applyAlignment="1">
      <alignment horizontal="center" vertical="center"/>
    </xf>
    <xf numFmtId="0" fontId="0" fillId="0" borderId="15" xfId="0" applyBorder="1" applyAlignment="1" applyProtection="1">
      <alignment vertical="center" wrapText="1"/>
      <protection locked="0"/>
    </xf>
    <xf numFmtId="0" fontId="0" fillId="5" borderId="15" xfId="0" applyFill="1" applyBorder="1" applyAlignment="1" applyProtection="1">
      <alignment vertical="center" wrapText="1"/>
      <protection locked="0"/>
    </xf>
    <xf numFmtId="0" fontId="0" fillId="0" borderId="15" xfId="0" applyFill="1" applyBorder="1" applyAlignment="1" applyProtection="1">
      <alignment vertical="center" wrapText="1"/>
      <protection locked="0"/>
    </xf>
    <xf numFmtId="0" fontId="3" fillId="12" borderId="15" xfId="0" applyFont="1" applyFill="1" applyBorder="1" applyAlignment="1" applyProtection="1">
      <alignment vertical="center" wrapText="1"/>
      <protection locked="0"/>
    </xf>
    <xf numFmtId="0" fontId="0" fillId="13" borderId="15" xfId="0" applyFill="1" applyBorder="1" applyAlignment="1" applyProtection="1">
      <alignment vertical="center" wrapText="1"/>
      <protection locked="0"/>
    </xf>
    <xf numFmtId="0" fontId="3" fillId="4" borderId="15" xfId="0" applyFont="1" applyFill="1" applyBorder="1" applyAlignment="1" applyProtection="1">
      <alignment vertical="center" wrapText="1"/>
      <protection locked="0"/>
    </xf>
    <xf numFmtId="0" fontId="0" fillId="12" borderId="15" xfId="0" applyFill="1" applyBorder="1" applyAlignment="1" applyProtection="1">
      <alignment vertical="center" wrapText="1"/>
      <protection locked="0"/>
    </xf>
    <xf numFmtId="0" fontId="3" fillId="5" borderId="15" xfId="0" applyFont="1" applyFill="1" applyBorder="1" applyAlignment="1" applyProtection="1">
      <alignment vertical="center" wrapText="1"/>
      <protection locked="0"/>
    </xf>
    <xf numFmtId="0" fontId="0" fillId="0" borderId="12" xfId="0" applyFill="1" applyBorder="1" applyAlignment="1" applyProtection="1">
      <alignment vertical="center" wrapText="1"/>
      <protection locked="0"/>
    </xf>
    <xf numFmtId="0" fontId="0" fillId="0" borderId="10" xfId="0" applyBorder="1" applyAlignment="1" applyProtection="1">
      <alignment vertical="center" wrapText="1"/>
      <protection locked="0"/>
    </xf>
    <xf numFmtId="0" fontId="0" fillId="0" borderId="12" xfId="0" applyBorder="1" applyAlignment="1" applyProtection="1">
      <alignment vertical="center" wrapText="1"/>
      <protection locked="0"/>
    </xf>
    <xf numFmtId="0" fontId="0" fillId="15" borderId="15" xfId="0" applyFill="1" applyBorder="1" applyAlignment="1" applyProtection="1">
      <alignment vertical="center" wrapText="1"/>
      <protection locked="0"/>
    </xf>
    <xf numFmtId="0" fontId="0" fillId="9" borderId="15" xfId="0" applyFill="1" applyBorder="1" applyAlignment="1" applyProtection="1">
      <alignment vertical="center" wrapText="1"/>
      <protection locked="0"/>
    </xf>
    <xf numFmtId="0" fontId="3" fillId="0" borderId="15" xfId="0" applyFont="1" applyBorder="1" applyAlignment="1" applyProtection="1">
      <alignment vertical="center" wrapText="1"/>
      <protection locked="0"/>
    </xf>
    <xf numFmtId="0" fontId="0" fillId="0" borderId="3" xfId="0" applyFill="1" applyBorder="1" applyAlignment="1" applyProtection="1">
      <alignment horizontal="left" vertical="top" wrapText="1"/>
      <protection locked="0"/>
    </xf>
    <xf numFmtId="0" fontId="17" fillId="0" borderId="3" xfId="0" applyFont="1" applyBorder="1" applyAlignment="1" applyProtection="1">
      <alignment wrapText="1"/>
      <protection locked="0"/>
    </xf>
    <xf numFmtId="0" fontId="29" fillId="0" borderId="3" xfId="5" applyFont="1" applyFill="1" applyBorder="1" applyAlignment="1" applyProtection="1">
      <alignment horizontal="left" vertical="center" wrapText="1"/>
      <protection locked="0"/>
    </xf>
    <xf numFmtId="0" fontId="29" fillId="0" borderId="3" xfId="7" applyFont="1" applyFill="1" applyBorder="1" applyAlignment="1" applyProtection="1">
      <alignment horizontal="left" vertical="center" wrapText="1"/>
      <protection locked="0"/>
    </xf>
    <xf numFmtId="0" fontId="28" fillId="0" borderId="3" xfId="8" applyFont="1" applyFill="1" applyBorder="1" applyAlignment="1" applyProtection="1">
      <alignment horizontal="left" vertical="center"/>
      <protection locked="0"/>
    </xf>
    <xf numFmtId="0" fontId="28" fillId="0" borderId="3" xfId="8" applyFont="1" applyFill="1" applyBorder="1" applyAlignment="1" applyProtection="1">
      <alignment horizontal="left" vertical="center" wrapText="1"/>
      <protection locked="0"/>
    </xf>
    <xf numFmtId="0" fontId="28" fillId="0" borderId="3" xfId="8" quotePrefix="1" applyFont="1" applyFill="1" applyBorder="1" applyAlignment="1" applyProtection="1">
      <alignment horizontal="left" vertical="center" wrapText="1"/>
      <protection locked="0"/>
    </xf>
    <xf numFmtId="2" fontId="0" fillId="5" borderId="3" xfId="0" applyNumberFormat="1" applyFill="1" applyBorder="1" applyAlignment="1" applyProtection="1">
      <alignment vertical="center" wrapText="1"/>
      <protection locked="0"/>
    </xf>
    <xf numFmtId="0" fontId="30" fillId="5" borderId="3" xfId="0" applyFont="1" applyFill="1" applyBorder="1" applyProtection="1">
      <protection locked="0"/>
    </xf>
    <xf numFmtId="0" fontId="0" fillId="0" borderId="3" xfId="0" applyBorder="1" applyAlignment="1" applyProtection="1">
      <alignment horizontal="left" wrapText="1"/>
      <protection locked="0"/>
    </xf>
    <xf numFmtId="0" fontId="0" fillId="4" borderId="3" xfId="0" applyFill="1" applyBorder="1" applyAlignment="1" applyProtection="1">
      <alignment horizontal="center" vertical="center" wrapText="1"/>
      <protection locked="0"/>
    </xf>
    <xf numFmtId="0" fontId="3" fillId="4" borderId="3" xfId="0" applyFont="1" applyFill="1" applyBorder="1" applyAlignment="1" applyProtection="1">
      <alignment horizontal="center" vertical="center" wrapText="1"/>
      <protection locked="0"/>
    </xf>
    <xf numFmtId="0" fontId="27" fillId="0" borderId="3" xfId="0" applyFont="1" applyFill="1" applyBorder="1" applyAlignment="1" applyProtection="1">
      <alignment horizontal="center" vertical="center" wrapText="1"/>
      <protection locked="0"/>
    </xf>
    <xf numFmtId="0" fontId="0" fillId="15" borderId="3" xfId="0" applyFill="1" applyBorder="1" applyAlignment="1" applyProtection="1">
      <alignment horizontal="center" vertical="center" wrapText="1"/>
      <protection locked="0"/>
    </xf>
    <xf numFmtId="0" fontId="0" fillId="0" borderId="3" xfId="0" applyBorder="1" applyAlignment="1" applyProtection="1">
      <alignment horizontal="center"/>
      <protection locked="0"/>
    </xf>
    <xf numFmtId="0" fontId="3" fillId="0" borderId="3" xfId="0" applyFont="1"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0" fontId="3" fillId="4" borderId="15" xfId="0" applyFont="1" applyFill="1" applyBorder="1" applyAlignment="1" applyProtection="1">
      <alignment horizontal="left" vertical="center" wrapText="1"/>
      <protection locked="0"/>
    </xf>
    <xf numFmtId="0" fontId="12" fillId="0" borderId="0" xfId="0" applyFont="1"/>
    <xf numFmtId="0" fontId="36" fillId="0" borderId="0" xfId="0" applyFont="1"/>
    <xf numFmtId="0" fontId="36" fillId="0" borderId="3" xfId="0" applyFont="1" applyBorder="1" applyAlignment="1">
      <alignment horizontal="left" vertical="center" wrapText="1"/>
    </xf>
    <xf numFmtId="0" fontId="38" fillId="0" borderId="3" xfId="0" applyFont="1" applyBorder="1" applyAlignment="1">
      <alignment horizontal="center" vertical="center" wrapText="1"/>
    </xf>
    <xf numFmtId="0" fontId="38" fillId="0" borderId="13" xfId="0" applyFont="1" applyBorder="1" applyAlignment="1">
      <alignment horizontal="center" vertical="center" wrapText="1"/>
    </xf>
    <xf numFmtId="0" fontId="36" fillId="0" borderId="3" xfId="0" applyFont="1" applyBorder="1"/>
    <xf numFmtId="0" fontId="12" fillId="0" borderId="3" xfId="0" applyFont="1" applyBorder="1" applyAlignment="1">
      <alignment horizontal="left" vertical="center" wrapText="1"/>
    </xf>
    <xf numFmtId="0" fontId="12" fillId="0" borderId="3" xfId="0" applyFont="1" applyBorder="1" applyAlignment="1">
      <alignment horizontal="right" vertical="center" wrapText="1"/>
    </xf>
    <xf numFmtId="0" fontId="12" fillId="0" borderId="13" xfId="0" applyFont="1" applyBorder="1" applyAlignment="1">
      <alignment horizontal="right" vertical="center" wrapText="1"/>
    </xf>
    <xf numFmtId="0" fontId="12" fillId="0" borderId="3" xfId="0" applyFont="1" applyBorder="1"/>
    <xf numFmtId="0" fontId="12" fillId="0" borderId="3" xfId="0" applyFont="1" applyBorder="1" applyAlignment="1">
      <alignment wrapText="1"/>
    </xf>
    <xf numFmtId="0" fontId="12" fillId="0" borderId="3" xfId="0" applyFont="1" applyBorder="1" applyAlignment="1">
      <alignment horizontal="right"/>
    </xf>
    <xf numFmtId="0" fontId="12" fillId="0" borderId="13" xfId="0" applyFont="1" applyBorder="1" applyAlignment="1">
      <alignment horizontal="right"/>
    </xf>
    <xf numFmtId="0" fontId="36" fillId="0" borderId="3" xfId="0" applyFont="1" applyBorder="1" applyAlignment="1">
      <alignment horizontal="right"/>
    </xf>
    <xf numFmtId="0" fontId="36" fillId="0" borderId="13" xfId="0" applyFont="1" applyBorder="1" applyAlignment="1">
      <alignment horizontal="right"/>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39" fillId="0" borderId="0" xfId="0" applyFont="1" applyAlignment="1">
      <alignment horizontal="left" vertical="center" wrapText="1" indent="1"/>
    </xf>
    <xf numFmtId="0" fontId="40" fillId="0" borderId="3" xfId="2" applyFont="1" applyBorder="1" applyAlignment="1" applyProtection="1">
      <alignment vertical="center" wrapText="1"/>
      <protection locked="0"/>
    </xf>
    <xf numFmtId="2" fontId="0" fillId="0" borderId="3" xfId="0" applyNumberFormat="1" applyBorder="1" applyAlignment="1" applyProtection="1">
      <alignment horizontal="right" vertical="center" wrapText="1"/>
      <protection locked="0"/>
    </xf>
    <xf numFmtId="0" fontId="41" fillId="0" borderId="0" xfId="0" applyFont="1" applyAlignment="1">
      <alignment vertical="center" wrapText="1"/>
    </xf>
    <xf numFmtId="165" fontId="0" fillId="0" borderId="3" xfId="0" applyNumberFormat="1" applyFill="1" applyBorder="1" applyAlignment="1" applyProtection="1">
      <alignment horizontal="center" vertical="center" wrapText="1"/>
      <protection locked="0"/>
    </xf>
    <xf numFmtId="0" fontId="0" fillId="7" borderId="3" xfId="0" applyFill="1" applyBorder="1" applyAlignment="1">
      <alignment horizontal="center" vertical="center" wrapText="1"/>
    </xf>
    <xf numFmtId="0" fontId="0" fillId="16" borderId="3" xfId="0" applyFill="1" applyBorder="1" applyAlignment="1" applyProtection="1">
      <alignment vertical="center" wrapText="1"/>
      <protection locked="0"/>
    </xf>
    <xf numFmtId="0" fontId="40" fillId="0" borderId="3" xfId="0" applyFont="1" applyBorder="1" applyAlignment="1" applyProtection="1">
      <alignment vertical="center" wrapText="1"/>
      <protection locked="0"/>
    </xf>
    <xf numFmtId="0" fontId="0" fillId="17" borderId="3" xfId="0" applyFill="1" applyBorder="1" applyAlignment="1" applyProtection="1">
      <alignment vertical="center" wrapText="1"/>
      <protection locked="0"/>
    </xf>
    <xf numFmtId="0" fontId="0" fillId="17" borderId="3" xfId="0" applyFill="1" applyBorder="1" applyAlignment="1" applyProtection="1">
      <alignment horizontal="center" vertical="center" wrapText="1"/>
      <protection locked="0"/>
    </xf>
    <xf numFmtId="0" fontId="0" fillId="17" borderId="3" xfId="0" applyFill="1" applyBorder="1" applyAlignment="1">
      <alignment horizontal="left" vertical="center" wrapText="1"/>
    </xf>
    <xf numFmtId="0" fontId="0" fillId="0" borderId="14" xfId="0" applyBorder="1" applyAlignment="1" applyProtection="1">
      <alignment horizontal="center" vertical="center" wrapText="1"/>
      <protection locked="0"/>
    </xf>
    <xf numFmtId="0" fontId="43" fillId="0" borderId="0" xfId="0" applyFont="1" applyAlignment="1">
      <alignment wrapText="1"/>
    </xf>
    <xf numFmtId="0" fontId="44" fillId="16" borderId="3" xfId="0" applyFont="1" applyFill="1" applyBorder="1" applyAlignment="1" applyProtection="1">
      <alignment wrapText="1"/>
      <protection locked="0"/>
    </xf>
    <xf numFmtId="0" fontId="0" fillId="18" borderId="3" xfId="0" applyFill="1" applyBorder="1" applyAlignment="1" applyProtection="1">
      <alignment vertical="center" wrapText="1"/>
      <protection locked="0"/>
    </xf>
    <xf numFmtId="0" fontId="0" fillId="18" borderId="3" xfId="0" applyFill="1" applyBorder="1" applyAlignment="1" applyProtection="1">
      <alignment horizontal="center" vertical="center" wrapText="1"/>
      <protection locked="0"/>
    </xf>
    <xf numFmtId="2" fontId="0" fillId="18" borderId="3" xfId="0" applyNumberFormat="1" applyFill="1" applyBorder="1" applyAlignment="1" applyProtection="1">
      <alignment horizontal="center" vertical="center" wrapText="1"/>
      <protection locked="0"/>
    </xf>
    <xf numFmtId="0" fontId="0" fillId="0" borderId="0" xfId="0" applyAlignment="1" applyProtection="1">
      <alignment horizontal="center"/>
      <protection locked="0"/>
    </xf>
    <xf numFmtId="0" fontId="0" fillId="0" borderId="0" xfId="0" applyAlignment="1">
      <alignment vertical="top" wrapText="1"/>
    </xf>
    <xf numFmtId="0" fontId="25" fillId="0" borderId="3" xfId="0" applyFont="1" applyBorder="1" applyAlignment="1">
      <alignment horizontal="center" vertical="top" wrapText="1"/>
    </xf>
    <xf numFmtId="2" fontId="16" fillId="0" borderId="3" xfId="0" applyNumberFormat="1" applyFont="1" applyBorder="1" applyAlignment="1" applyProtection="1">
      <alignment horizontal="right" vertical="top" wrapText="1"/>
      <protection locked="0"/>
    </xf>
    <xf numFmtId="2" fontId="16" fillId="0" borderId="3" xfId="0" applyNumberFormat="1" applyFont="1" applyBorder="1" applyAlignment="1" applyProtection="1">
      <alignment vertical="top" wrapText="1"/>
      <protection locked="0"/>
    </xf>
    <xf numFmtId="2" fontId="25" fillId="0" borderId="3" xfId="0" applyNumberFormat="1" applyFont="1" applyBorder="1" applyAlignment="1">
      <alignment horizontal="right" vertical="top" wrapText="1"/>
    </xf>
    <xf numFmtId="164" fontId="25" fillId="0" borderId="3" xfId="0" applyNumberFormat="1" applyFont="1" applyBorder="1" applyAlignment="1">
      <alignment horizontal="right" vertical="top" wrapText="1"/>
    </xf>
    <xf numFmtId="2" fontId="25" fillId="0" borderId="3" xfId="0" applyNumberFormat="1" applyFont="1" applyBorder="1" applyAlignment="1" applyProtection="1">
      <alignment horizontal="right" vertical="top" wrapText="1"/>
      <protection locked="0"/>
    </xf>
    <xf numFmtId="164" fontId="25" fillId="0" borderId="3" xfId="0" applyNumberFormat="1" applyFont="1" applyBorder="1" applyAlignment="1" applyProtection="1">
      <alignment horizontal="right" vertical="top" wrapText="1"/>
      <protection locked="0"/>
    </xf>
    <xf numFmtId="2" fontId="0" fillId="0" borderId="0" xfId="0" applyNumberFormat="1" applyAlignment="1">
      <alignment vertical="top" wrapText="1"/>
    </xf>
    <xf numFmtId="0" fontId="47" fillId="0" borderId="3" xfId="0" applyFont="1" applyBorder="1" applyAlignment="1">
      <alignment vertical="center"/>
    </xf>
    <xf numFmtId="0" fontId="47" fillId="0" borderId="3" xfId="0" applyFont="1" applyBorder="1" applyAlignment="1">
      <alignment horizontal="right" vertical="center"/>
    </xf>
    <xf numFmtId="0" fontId="48" fillId="0" borderId="3" xfId="0" applyFont="1" applyBorder="1" applyAlignment="1">
      <alignment horizontal="right" vertical="center"/>
    </xf>
    <xf numFmtId="0" fontId="48" fillId="0" borderId="3" xfId="0" applyFont="1" applyBorder="1" applyAlignment="1">
      <alignment horizontal="right"/>
    </xf>
    <xf numFmtId="0" fontId="48" fillId="0" borderId="3" xfId="0" applyFont="1" applyBorder="1" applyAlignment="1">
      <alignment horizontal="center" vertical="center"/>
    </xf>
    <xf numFmtId="0" fontId="0" fillId="5" borderId="0" xfId="0" applyFill="1"/>
    <xf numFmtId="0" fontId="47" fillId="5" borderId="3" xfId="0" applyFont="1" applyFill="1" applyBorder="1" applyAlignment="1">
      <alignment vertical="center"/>
    </xf>
    <xf numFmtId="0" fontId="47" fillId="5" borderId="3" xfId="0" applyFont="1" applyFill="1" applyBorder="1" applyAlignment="1">
      <alignment horizontal="center" vertical="center"/>
    </xf>
    <xf numFmtId="0" fontId="48" fillId="0" borderId="3" xfId="0" applyFont="1" applyBorder="1" applyAlignment="1">
      <alignment horizontal="center" vertical="center" wrapText="1"/>
    </xf>
    <xf numFmtId="49" fontId="48" fillId="0" borderId="3" xfId="0" applyNumberFormat="1" applyFont="1" applyBorder="1" applyAlignment="1">
      <alignment horizontal="left" wrapText="1"/>
    </xf>
    <xf numFmtId="1" fontId="14" fillId="0" borderId="3" xfId="0" applyNumberFormat="1" applyFont="1" applyBorder="1" applyAlignment="1">
      <alignment horizontal="center" vertical="center"/>
    </xf>
    <xf numFmtId="0" fontId="48" fillId="0" borderId="3" xfId="0" applyFont="1" applyBorder="1" applyAlignment="1">
      <alignment horizontal="center" wrapText="1"/>
    </xf>
    <xf numFmtId="0" fontId="48" fillId="0" borderId="3" xfId="0" applyFont="1" applyBorder="1" applyAlignment="1">
      <alignment horizontal="center"/>
    </xf>
    <xf numFmtId="0" fontId="48" fillId="0" borderId="3" xfId="0" applyFont="1" applyBorder="1"/>
    <xf numFmtId="0" fontId="48" fillId="0" borderId="3" xfId="13" applyFont="1" applyBorder="1" applyAlignment="1">
      <alignment horizontal="right" vertical="top" wrapText="1"/>
    </xf>
    <xf numFmtId="164" fontId="48" fillId="0" borderId="3" xfId="13" applyNumberFormat="1" applyFont="1" applyBorder="1" applyAlignment="1">
      <alignment horizontal="right" vertical="top" wrapText="1"/>
    </xf>
    <xf numFmtId="0" fontId="48" fillId="0" borderId="3" xfId="13" applyFont="1" applyBorder="1" applyAlignment="1">
      <alignment horizontal="right" wrapText="1"/>
    </xf>
    <xf numFmtId="164" fontId="48" fillId="0" borderId="3" xfId="13" applyNumberFormat="1" applyFont="1" applyBorder="1" applyAlignment="1">
      <alignment horizontal="right"/>
    </xf>
    <xf numFmtId="0" fontId="48" fillId="0" borderId="3" xfId="13" applyFont="1" applyBorder="1" applyAlignment="1">
      <alignment horizontal="right"/>
    </xf>
    <xf numFmtId="9" fontId="48" fillId="0" borderId="3" xfId="12" applyFont="1" applyBorder="1" applyAlignment="1">
      <alignment horizontal="center" vertical="center" wrapText="1"/>
    </xf>
    <xf numFmtId="9" fontId="48" fillId="0" borderId="3" xfId="0" applyNumberFormat="1" applyFont="1" applyBorder="1" applyAlignment="1">
      <alignment horizontal="center" vertical="center"/>
    </xf>
    <xf numFmtId="9" fontId="48" fillId="0" borderId="3" xfId="12" applyFont="1" applyFill="1" applyBorder="1"/>
    <xf numFmtId="164" fontId="48" fillId="0" borderId="3" xfId="13" applyNumberFormat="1" applyFont="1" applyBorder="1" applyAlignment="1">
      <alignment horizontal="center"/>
    </xf>
    <xf numFmtId="0" fontId="48" fillId="0" borderId="3" xfId="0" applyFont="1" applyBorder="1" applyAlignment="1">
      <alignment wrapText="1"/>
    </xf>
    <xf numFmtId="0" fontId="47" fillId="0" borderId="3" xfId="0" applyFont="1" applyBorder="1" applyAlignment="1">
      <alignment vertical="center" wrapText="1"/>
    </xf>
    <xf numFmtId="1" fontId="47" fillId="19" borderId="3" xfId="0" applyNumberFormat="1" applyFont="1" applyFill="1" applyBorder="1" applyAlignment="1">
      <alignment horizontal="center" wrapText="1"/>
    </xf>
    <xf numFmtId="1" fontId="47" fillId="19" borderId="3" xfId="0" applyNumberFormat="1" applyFont="1" applyFill="1" applyBorder="1" applyAlignment="1">
      <alignment horizontal="right" wrapText="1"/>
    </xf>
    <xf numFmtId="0" fontId="47" fillId="0" borderId="3" xfId="13" applyFont="1" applyBorder="1" applyAlignment="1">
      <alignment horizontal="right" vertical="top" wrapText="1"/>
    </xf>
    <xf numFmtId="164" fontId="47" fillId="0" borderId="3" xfId="13" applyNumberFormat="1" applyFont="1" applyBorder="1" applyAlignment="1">
      <alignment horizontal="right" vertical="top" wrapText="1"/>
    </xf>
    <xf numFmtId="164" fontId="47" fillId="0" borderId="3" xfId="13" applyNumberFormat="1" applyFont="1" applyBorder="1" applyAlignment="1">
      <alignment horizontal="right"/>
    </xf>
    <xf numFmtId="0" fontId="47" fillId="0" borderId="3" xfId="13" applyFont="1" applyBorder="1" applyAlignment="1">
      <alignment horizontal="right"/>
    </xf>
    <xf numFmtId="0" fontId="47" fillId="0" borderId="3" xfId="0" applyFont="1" applyBorder="1" applyAlignment="1">
      <alignment horizontal="center" vertical="center" wrapText="1"/>
    </xf>
    <xf numFmtId="9" fontId="47" fillId="0" borderId="3" xfId="12" applyFont="1" applyBorder="1" applyAlignment="1">
      <alignment horizontal="center" vertical="center" wrapText="1"/>
    </xf>
    <xf numFmtId="0" fontId="47" fillId="0" borderId="3" xfId="0" applyFont="1" applyBorder="1" applyAlignment="1">
      <alignment horizontal="center" vertical="center"/>
    </xf>
    <xf numFmtId="9" fontId="47" fillId="0" borderId="3" xfId="0" applyNumberFormat="1" applyFont="1" applyBorder="1" applyAlignment="1">
      <alignment horizontal="center" vertical="center"/>
    </xf>
    <xf numFmtId="9" fontId="47" fillId="0" borderId="3" xfId="12" applyFont="1" applyFill="1" applyBorder="1"/>
    <xf numFmtId="164" fontId="47" fillId="0" borderId="3" xfId="13" applyNumberFormat="1" applyFont="1" applyBorder="1" applyAlignment="1">
      <alignment horizontal="center"/>
    </xf>
    <xf numFmtId="0" fontId="43" fillId="0" borderId="3" xfId="0" applyFont="1" applyBorder="1" applyAlignment="1">
      <alignment horizontal="center" vertical="center" wrapText="1"/>
    </xf>
    <xf numFmtId="0" fontId="0" fillId="0" borderId="3" xfId="0" applyBorder="1" applyAlignment="1">
      <alignment vertical="center" wrapText="1"/>
    </xf>
    <xf numFmtId="2" fontId="0" fillId="0" borderId="3" xfId="0" applyNumberFormat="1" applyBorder="1" applyAlignment="1">
      <alignment horizontal="center" vertical="center" wrapText="1"/>
    </xf>
    <xf numFmtId="0" fontId="16" fillId="0" borderId="3" xfId="0" applyFont="1" applyBorder="1" applyAlignment="1">
      <alignment horizontal="center" vertical="center"/>
    </xf>
    <xf numFmtId="0" fontId="25" fillId="0" borderId="3" xfId="0" applyFont="1" applyBorder="1" applyAlignment="1">
      <alignment vertical="center" wrapText="1"/>
    </xf>
    <xf numFmtId="0" fontId="45" fillId="0" borderId="3" xfId="0" applyFont="1" applyBorder="1" applyAlignment="1">
      <alignment horizontal="right" vertical="center"/>
    </xf>
    <xf numFmtId="0" fontId="45" fillId="0" borderId="0" xfId="0" applyFont="1" applyAlignment="1">
      <alignment horizontal="right" vertical="center"/>
    </xf>
    <xf numFmtId="0" fontId="49" fillId="0" borderId="0" xfId="0" applyFont="1" applyAlignment="1">
      <alignment wrapText="1"/>
    </xf>
    <xf numFmtId="0" fontId="51" fillId="0" borderId="0" xfId="0" applyFont="1"/>
    <xf numFmtId="2" fontId="0" fillId="0" borderId="0" xfId="0" applyNumberFormat="1"/>
    <xf numFmtId="0" fontId="7" fillId="0" borderId="21" xfId="0" applyFont="1" applyBorder="1" applyAlignment="1">
      <alignment vertical="top" wrapText="1"/>
    </xf>
    <xf numFmtId="0" fontId="7" fillId="0" borderId="21" xfId="0" applyFont="1" applyBorder="1" applyAlignment="1" applyProtection="1">
      <alignment vertical="top" wrapText="1"/>
      <protection locked="0"/>
    </xf>
    <xf numFmtId="2" fontId="3" fillId="0" borderId="3" xfId="0" applyNumberFormat="1" applyFont="1" applyBorder="1" applyAlignment="1">
      <alignment vertical="center"/>
    </xf>
    <xf numFmtId="0" fontId="52" fillId="20" borderId="24" xfId="0" applyFont="1" applyFill="1" applyBorder="1" applyAlignment="1">
      <alignment horizontal="center" vertical="center" wrapText="1"/>
    </xf>
    <xf numFmtId="0" fontId="52" fillId="20" borderId="25" xfId="0" applyFont="1" applyFill="1" applyBorder="1" applyAlignment="1">
      <alignment horizontal="center" vertical="center" wrapText="1"/>
    </xf>
    <xf numFmtId="0" fontId="52" fillId="20" borderId="25" xfId="0" applyFont="1" applyFill="1" applyBorder="1" applyAlignment="1">
      <alignment vertical="center" wrapText="1"/>
    </xf>
    <xf numFmtId="0" fontId="11" fillId="6" borderId="26" xfId="0" applyFont="1" applyFill="1" applyBorder="1" applyAlignment="1">
      <alignment vertical="center" wrapText="1"/>
    </xf>
    <xf numFmtId="0" fontId="43" fillId="0" borderId="28" xfId="0" applyFont="1" applyBorder="1" applyAlignment="1">
      <alignment vertical="center" wrapText="1"/>
    </xf>
    <xf numFmtId="0" fontId="43" fillId="0" borderId="34" xfId="0" applyFont="1" applyBorder="1" applyAlignment="1">
      <alignment vertical="center" wrapText="1"/>
    </xf>
    <xf numFmtId="0" fontId="53" fillId="0" borderId="0" xfId="0" applyFont="1" applyAlignment="1">
      <alignment horizontal="left" vertical="center"/>
    </xf>
    <xf numFmtId="0" fontId="43" fillId="0" borderId="18" xfId="0" applyFont="1" applyBorder="1" applyAlignment="1">
      <alignment horizontal="justify" vertical="center" wrapText="1"/>
    </xf>
    <xf numFmtId="0" fontId="43" fillId="0" borderId="7" xfId="0" applyFont="1" applyBorder="1" applyAlignment="1">
      <alignment horizontal="justify" vertical="center" wrapText="1"/>
    </xf>
    <xf numFmtId="0" fontId="55" fillId="0" borderId="18" xfId="0" applyFont="1" applyBorder="1" applyAlignment="1">
      <alignment horizontal="justify" vertical="center" wrapText="1"/>
    </xf>
    <xf numFmtId="0" fontId="55" fillId="0" borderId="7" xfId="0" applyFont="1" applyBorder="1" applyAlignment="1">
      <alignment horizontal="justify" vertical="center" wrapText="1"/>
    </xf>
    <xf numFmtId="0" fontId="12" fillId="0" borderId="3" xfId="0" applyFont="1" applyBorder="1" applyAlignment="1">
      <alignment horizontal="center" vertical="center" wrapText="1"/>
    </xf>
    <xf numFmtId="0" fontId="12" fillId="0" borderId="3" xfId="0" applyFont="1" applyBorder="1" applyAlignment="1">
      <alignment vertical="center" wrapText="1"/>
    </xf>
    <xf numFmtId="2" fontId="9" fillId="0" borderId="3" xfId="0" applyNumberFormat="1" applyFont="1" applyBorder="1" applyAlignment="1">
      <alignment horizontal="center" vertical="center" wrapText="1"/>
    </xf>
    <xf numFmtId="2" fontId="0" fillId="0" borderId="3" xfId="0" applyNumberFormat="1" applyBorder="1" applyAlignment="1">
      <alignment horizontal="center" vertical="top" wrapText="1"/>
    </xf>
    <xf numFmtId="2" fontId="8" fillId="0" borderId="3" xfId="0" applyNumberFormat="1" applyFont="1" applyBorder="1" applyAlignment="1">
      <alignment vertical="center" wrapText="1"/>
    </xf>
    <xf numFmtId="0" fontId="8" fillId="11" borderId="3" xfId="0" applyFont="1" applyFill="1" applyBorder="1" applyAlignment="1">
      <alignment horizontal="left" vertical="center" wrapText="1"/>
    </xf>
    <xf numFmtId="0" fontId="8" fillId="11" borderId="3" xfId="0" applyFont="1" applyFill="1" applyBorder="1" applyAlignment="1">
      <alignment vertical="center" wrapText="1"/>
    </xf>
    <xf numFmtId="0" fontId="8" fillId="11" borderId="3" xfId="0" applyFont="1" applyFill="1" applyBorder="1" applyAlignment="1">
      <alignment horizontal="center" vertical="center" wrapText="1"/>
    </xf>
    <xf numFmtId="0" fontId="8" fillId="11" borderId="3" xfId="0" applyFont="1" applyFill="1" applyBorder="1" applyAlignment="1">
      <alignment horizontal="center" wrapText="1"/>
    </xf>
    <xf numFmtId="2" fontId="8" fillId="11" borderId="3" xfId="0" applyNumberFormat="1" applyFont="1" applyFill="1" applyBorder="1" applyAlignment="1">
      <alignment horizontal="center" vertical="center" wrapText="1"/>
    </xf>
    <xf numFmtId="0" fontId="8" fillId="11" borderId="16" xfId="0" applyFont="1" applyFill="1" applyBorder="1" applyAlignment="1">
      <alignment vertical="center" wrapText="1"/>
    </xf>
    <xf numFmtId="0" fontId="8" fillId="11" borderId="0" xfId="0" applyFont="1" applyFill="1"/>
    <xf numFmtId="2" fontId="23" fillId="0" borderId="3" xfId="0" applyNumberFormat="1" applyFont="1" applyBorder="1" applyAlignment="1">
      <alignment horizontal="center" vertical="center" wrapText="1"/>
    </xf>
    <xf numFmtId="0" fontId="56" fillId="21" borderId="3" xfId="0" applyFont="1" applyFill="1" applyBorder="1" applyAlignment="1">
      <alignment horizontal="center" vertical="center" wrapText="1"/>
    </xf>
    <xf numFmtId="0" fontId="57" fillId="0" borderId="21" xfId="0" applyFont="1" applyBorder="1" applyAlignment="1">
      <alignment vertical="top" wrapText="1"/>
    </xf>
    <xf numFmtId="0" fontId="14" fillId="22" borderId="3" xfId="0" applyFont="1" applyFill="1" applyBorder="1" applyAlignment="1">
      <alignment horizontal="center" vertical="center" wrapText="1"/>
    </xf>
    <xf numFmtId="0" fontId="14" fillId="22" borderId="3" xfId="0" applyFont="1" applyFill="1" applyBorder="1" applyAlignment="1">
      <alignment horizontal="center" vertical="center"/>
    </xf>
    <xf numFmtId="2" fontId="14" fillId="22" borderId="3" xfId="0" applyNumberFormat="1" applyFont="1" applyFill="1" applyBorder="1" applyAlignment="1">
      <alignment horizontal="center" vertical="center"/>
    </xf>
    <xf numFmtId="0" fontId="58" fillId="0" borderId="21" xfId="0" applyFont="1" applyBorder="1" applyAlignment="1" applyProtection="1">
      <alignment vertical="top" wrapText="1"/>
      <protection locked="0"/>
    </xf>
    <xf numFmtId="0" fontId="14" fillId="22" borderId="3" xfId="0" applyFont="1" applyFill="1" applyBorder="1" applyAlignment="1">
      <alignment horizontal="center" wrapText="1"/>
    </xf>
    <xf numFmtId="0" fontId="14" fillId="22" borderId="3" xfId="0" applyFont="1" applyFill="1" applyBorder="1" applyAlignment="1">
      <alignment horizontal="center"/>
    </xf>
    <xf numFmtId="0" fontId="14" fillId="22" borderId="3" xfId="0" applyFont="1" applyFill="1" applyBorder="1"/>
    <xf numFmtId="0" fontId="15" fillId="0" borderId="21" xfId="0" applyFont="1" applyBorder="1" applyAlignment="1" applyProtection="1">
      <alignment vertical="top" wrapText="1"/>
      <protection locked="0"/>
    </xf>
    <xf numFmtId="0" fontId="58" fillId="22" borderId="21" xfId="0" applyFont="1" applyFill="1" applyBorder="1" applyAlignment="1">
      <alignment horizontal="center" vertical="center" wrapText="1"/>
    </xf>
    <xf numFmtId="0" fontId="56" fillId="0" borderId="3" xfId="0" applyFont="1" applyBorder="1" applyAlignment="1">
      <alignment horizontal="left" vertical="center" wrapText="1"/>
    </xf>
    <xf numFmtId="0" fontId="14" fillId="0" borderId="3" xfId="0" applyFont="1" applyBorder="1" applyAlignment="1">
      <alignment horizontal="center"/>
    </xf>
    <xf numFmtId="0" fontId="14" fillId="7" borderId="3" xfId="0" applyFont="1" applyFill="1" applyBorder="1" applyAlignment="1">
      <alignment horizontal="center" vertical="center"/>
    </xf>
    <xf numFmtId="0" fontId="3" fillId="4" borderId="3" xfId="0" applyFont="1" applyFill="1" applyBorder="1" applyAlignment="1" applyProtection="1">
      <alignment horizontal="left" vertical="center" wrapText="1"/>
      <protection locked="0"/>
    </xf>
    <xf numFmtId="0" fontId="0" fillId="0" borderId="3" xfId="0" applyBorder="1" applyAlignment="1" applyProtection="1">
      <alignment horizontal="center" vertical="center" wrapText="1"/>
      <protection locked="0"/>
    </xf>
    <xf numFmtId="0" fontId="0" fillId="0" borderId="3" xfId="0" applyFill="1" applyBorder="1" applyAlignment="1" applyProtection="1">
      <alignment horizontal="center" vertical="center" wrapText="1"/>
      <protection locked="0"/>
    </xf>
    <xf numFmtId="0" fontId="3" fillId="15" borderId="3" xfId="0" applyFont="1" applyFill="1" applyBorder="1" applyAlignment="1" applyProtection="1">
      <alignment horizontal="left" vertical="center" wrapText="1"/>
      <protection locked="0"/>
    </xf>
    <xf numFmtId="0" fontId="3" fillId="4" borderId="3" xfId="0" applyFont="1" applyFill="1" applyBorder="1" applyAlignment="1" applyProtection="1">
      <alignment horizontal="left"/>
      <protection locked="0"/>
    </xf>
    <xf numFmtId="0" fontId="0" fillId="9" borderId="3" xfId="0" applyFill="1" applyBorder="1" applyAlignment="1" applyProtection="1">
      <alignment horizontal="center" vertical="center" wrapText="1"/>
      <protection locked="0"/>
    </xf>
    <xf numFmtId="0" fontId="3" fillId="4" borderId="13" xfId="0" applyFont="1" applyFill="1" applyBorder="1" applyAlignment="1" applyProtection="1">
      <alignment horizontal="left" vertical="center" wrapText="1"/>
      <protection locked="0"/>
    </xf>
    <xf numFmtId="0" fontId="3" fillId="4" borderId="14" xfId="0" applyFont="1" applyFill="1" applyBorder="1" applyAlignment="1" applyProtection="1">
      <alignment horizontal="left" vertical="center" wrapText="1"/>
      <protection locked="0"/>
    </xf>
    <xf numFmtId="0" fontId="3" fillId="4" borderId="15" xfId="0" applyFont="1" applyFill="1" applyBorder="1" applyAlignment="1" applyProtection="1">
      <alignment horizontal="left" vertical="center" wrapText="1"/>
      <protection locked="0"/>
    </xf>
    <xf numFmtId="0" fontId="25" fillId="0" borderId="3" xfId="0" applyFont="1" applyBorder="1" applyAlignment="1">
      <alignment horizontal="left" vertical="top" wrapText="1"/>
    </xf>
    <xf numFmtId="0" fontId="45" fillId="0" borderId="8" xfId="0" applyFont="1" applyBorder="1" applyAlignment="1">
      <alignment horizontal="center" vertical="top" wrapText="1"/>
    </xf>
    <xf numFmtId="0" fontId="25" fillId="0" borderId="3" xfId="0" applyFont="1" applyBorder="1" applyAlignment="1">
      <alignment horizontal="center" vertical="top" wrapText="1"/>
    </xf>
    <xf numFmtId="0" fontId="46" fillId="0" borderId="3" xfId="0" applyFont="1" applyBorder="1" applyAlignment="1">
      <alignment horizontal="center" vertical="top" wrapText="1"/>
    </xf>
    <xf numFmtId="0" fontId="0" fillId="0" borderId="17" xfId="0" applyBorder="1" applyAlignment="1">
      <alignment horizontal="center" vertical="center" wrapText="1"/>
    </xf>
    <xf numFmtId="0" fontId="0" fillId="0" borderId="31" xfId="0" applyBorder="1" applyAlignment="1">
      <alignment horizontal="center" vertical="center" wrapText="1"/>
    </xf>
    <xf numFmtId="0" fontId="0" fillId="0" borderId="18" xfId="0" applyBorder="1" applyAlignment="1">
      <alignment horizontal="center" vertical="center" wrapText="1"/>
    </xf>
    <xf numFmtId="0" fontId="43" fillId="0" borderId="30" xfId="0" applyFont="1" applyBorder="1" applyAlignment="1">
      <alignment vertical="center" wrapText="1"/>
    </xf>
    <xf numFmtId="0" fontId="43" fillId="0" borderId="32" xfId="0" applyFont="1" applyBorder="1" applyAlignment="1">
      <alignment vertical="center" wrapText="1"/>
    </xf>
    <xf numFmtId="0" fontId="43" fillId="0" borderId="27" xfId="0" applyFont="1" applyBorder="1" applyAlignment="1">
      <alignment horizontal="center" vertical="center" wrapText="1"/>
    </xf>
    <xf numFmtId="0" fontId="43" fillId="0" borderId="29" xfId="0" applyFont="1" applyBorder="1" applyAlignment="1">
      <alignment horizontal="center" vertical="center" wrapText="1"/>
    </xf>
    <xf numFmtId="0" fontId="43" fillId="0" borderId="33" xfId="0" applyFont="1" applyBorder="1" applyAlignment="1">
      <alignment horizontal="center" vertical="center" wrapText="1"/>
    </xf>
    <xf numFmtId="0" fontId="43" fillId="0" borderId="27" xfId="0" applyFont="1" applyBorder="1" applyAlignment="1">
      <alignment vertical="center" wrapText="1"/>
    </xf>
    <xf numFmtId="0" fontId="43" fillId="0" borderId="33" xfId="0" applyFont="1" applyBorder="1" applyAlignment="1">
      <alignment vertical="center" wrapText="1"/>
    </xf>
    <xf numFmtId="0" fontId="54" fillId="0" borderId="0" xfId="0" applyFont="1" applyAlignment="1">
      <alignment horizontal="center" vertical="center"/>
    </xf>
    <xf numFmtId="0" fontId="54" fillId="0" borderId="17" xfId="0" applyFont="1" applyBorder="1" applyAlignment="1">
      <alignment horizontal="justify" vertical="center" wrapText="1"/>
    </xf>
    <xf numFmtId="0" fontId="54" fillId="0" borderId="18" xfId="0" applyFont="1" applyBorder="1" applyAlignment="1">
      <alignment horizontal="justify" vertical="center" wrapText="1"/>
    </xf>
    <xf numFmtId="0" fontId="48" fillId="0" borderId="3" xfId="0" applyFont="1" applyBorder="1" applyAlignment="1">
      <alignment horizontal="center" vertical="center" wrapText="1"/>
    </xf>
    <xf numFmtId="0" fontId="48" fillId="17" borderId="3" xfId="0" applyFont="1" applyFill="1" applyBorder="1" applyAlignment="1">
      <alignment horizontal="center" vertical="center" wrapText="1"/>
    </xf>
    <xf numFmtId="0" fontId="47" fillId="5" borderId="3" xfId="0" applyFont="1" applyFill="1" applyBorder="1" applyAlignment="1">
      <alignment horizontal="center" vertical="center" wrapText="1"/>
    </xf>
    <xf numFmtId="0" fontId="48" fillId="0" borderId="3" xfId="0" applyFont="1" applyBorder="1" applyAlignment="1">
      <alignment horizontal="center" wrapText="1"/>
    </xf>
    <xf numFmtId="0" fontId="47" fillId="5" borderId="3" xfId="0" applyFont="1" applyFill="1" applyBorder="1" applyAlignment="1">
      <alignment horizontal="center" vertical="center"/>
    </xf>
    <xf numFmtId="0" fontId="47" fillId="5" borderId="13" xfId="0" applyFont="1" applyFill="1" applyBorder="1" applyAlignment="1">
      <alignment horizontal="center" vertical="center"/>
    </xf>
    <xf numFmtId="0" fontId="47" fillId="5" borderId="14" xfId="0" applyFont="1" applyFill="1" applyBorder="1" applyAlignment="1">
      <alignment horizontal="center" vertical="center"/>
    </xf>
    <xf numFmtId="0" fontId="47" fillId="5" borderId="15" xfId="0" applyFont="1" applyFill="1" applyBorder="1" applyAlignment="1">
      <alignment horizontal="center" vertical="center"/>
    </xf>
    <xf numFmtId="0" fontId="37" fillId="0" borderId="0" xfId="0" applyFont="1" applyAlignment="1">
      <alignment horizontal="center"/>
    </xf>
    <xf numFmtId="0" fontId="9" fillId="0" borderId="16" xfId="0" applyFont="1" applyBorder="1" applyAlignment="1">
      <alignment horizontal="center" vertical="center" wrapText="1"/>
    </xf>
    <xf numFmtId="0" fontId="9" fillId="0" borderId="35" xfId="0" applyFont="1" applyBorder="1" applyAlignment="1">
      <alignment horizontal="center" vertical="center" wrapText="1"/>
    </xf>
    <xf numFmtId="0" fontId="9" fillId="0" borderId="2"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2" fontId="9" fillId="0" borderId="16" xfId="0" applyNumberFormat="1" applyFont="1" applyBorder="1" applyAlignment="1">
      <alignment horizontal="center" vertical="center" wrapText="1"/>
    </xf>
    <xf numFmtId="2" fontId="9" fillId="0" borderId="35" xfId="0" applyNumberFormat="1" applyFont="1" applyBorder="1" applyAlignment="1">
      <alignment horizontal="center" vertical="center" wrapText="1"/>
    </xf>
    <xf numFmtId="2" fontId="9" fillId="0" borderId="2" xfId="0" applyNumberFormat="1" applyFont="1" applyBorder="1" applyAlignment="1">
      <alignment horizontal="center" vertical="center" wrapText="1"/>
    </xf>
    <xf numFmtId="0" fontId="0" fillId="0" borderId="8" xfId="0" applyBorder="1" applyAlignment="1">
      <alignment horizontal="center"/>
    </xf>
    <xf numFmtId="0" fontId="9" fillId="0" borderId="16" xfId="0" applyFont="1" applyBorder="1" applyAlignment="1">
      <alignment vertical="center" wrapText="1"/>
    </xf>
    <xf numFmtId="0" fontId="9" fillId="0" borderId="35" xfId="0" applyFont="1" applyBorder="1" applyAlignment="1">
      <alignment vertical="center" wrapText="1"/>
    </xf>
    <xf numFmtId="0" fontId="9" fillId="0" borderId="2" xfId="0" applyFont="1" applyBorder="1" applyAlignment="1">
      <alignment vertical="center" wrapText="1"/>
    </xf>
    <xf numFmtId="0" fontId="9" fillId="0" borderId="9"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8" xfId="0" applyFont="1" applyBorder="1" applyAlignment="1">
      <alignment horizontal="center" vertical="center" wrapText="1"/>
    </xf>
    <xf numFmtId="0" fontId="9" fillId="0" borderId="12" xfId="0" applyFont="1" applyBorder="1" applyAlignment="1">
      <alignment horizontal="center" vertical="center" wrapText="1"/>
    </xf>
    <xf numFmtId="0" fontId="50" fillId="0" borderId="0" xfId="0" applyFont="1" applyAlignment="1">
      <alignment horizontal="center" vertical="center"/>
    </xf>
    <xf numFmtId="0" fontId="45" fillId="0" borderId="3" xfId="0" applyFont="1" applyBorder="1" applyAlignment="1">
      <alignment horizontal="center" vertical="center" wrapText="1"/>
    </xf>
    <xf numFmtId="0" fontId="45" fillId="0" borderId="3" xfId="0" applyFont="1" applyBorder="1" applyAlignment="1">
      <alignment horizontal="center" vertical="center"/>
    </xf>
    <xf numFmtId="0" fontId="25" fillId="0" borderId="3" xfId="0" applyFont="1" applyBorder="1" applyAlignment="1">
      <alignment horizontal="center" vertical="center" wrapText="1"/>
    </xf>
    <xf numFmtId="2" fontId="56" fillId="21" borderId="3" xfId="0" applyNumberFormat="1" applyFont="1" applyFill="1" applyBorder="1" applyAlignment="1">
      <alignment horizontal="center" vertical="center" wrapText="1"/>
    </xf>
    <xf numFmtId="0" fontId="56" fillId="21" borderId="19" xfId="0" applyFont="1" applyFill="1" applyBorder="1" applyAlignment="1">
      <alignment horizontal="center" vertical="center" wrapText="1"/>
    </xf>
    <xf numFmtId="0" fontId="56" fillId="21" borderId="21" xfId="0" applyFont="1" applyFill="1" applyBorder="1" applyAlignment="1">
      <alignment horizontal="center" vertical="center" wrapText="1"/>
    </xf>
    <xf numFmtId="0" fontId="56" fillId="21" borderId="6" xfId="0" applyFont="1" applyFill="1" applyBorder="1" applyAlignment="1">
      <alignment horizontal="center" vertical="center" wrapText="1"/>
    </xf>
    <xf numFmtId="0" fontId="56" fillId="21" borderId="20" xfId="0" applyFont="1" applyFill="1" applyBorder="1" applyAlignment="1">
      <alignment horizontal="center" vertical="center" wrapText="1"/>
    </xf>
    <xf numFmtId="0" fontId="56" fillId="21" borderId="3" xfId="0" applyFont="1" applyFill="1" applyBorder="1" applyAlignment="1">
      <alignment horizontal="center" vertical="center" wrapText="1"/>
    </xf>
  </cellXfs>
  <cellStyles count="14">
    <cellStyle name="Bad" xfId="6" builtinId="27"/>
    <cellStyle name="Calculation" xfId="1" builtinId="22"/>
    <cellStyle name="Normal" xfId="0" builtinId="0"/>
    <cellStyle name="Normal 2 3" xfId="5"/>
    <cellStyle name="Normal 3 10" xfId="7"/>
    <cellStyle name="Normal 3 2 3" xfId="2"/>
    <cellStyle name="Normal 3 2 3 2 2" xfId="10"/>
    <cellStyle name="Normal 3 2 5" xfId="9"/>
    <cellStyle name="Normal 3 2 6" xfId="4"/>
    <cellStyle name="Normal 4" xfId="8"/>
    <cellStyle name="Normal 6" xfId="3"/>
    <cellStyle name="Normal 7" xfId="11"/>
    <cellStyle name="Normal_Organisation of Services" xfId="13"/>
    <cellStyle name="Percent" xfId="12" builtinId="5"/>
  </cellStyles>
  <dxfs count="1">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lmas%20Shamim/Downloads/Format%20for%20NGO%20PP%20as%20per%20new%20scheme%20(1).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otal SCheme Wise"/>
      <sheetName val="OI PPSA"/>
      <sheetName val="O II Public Health action"/>
      <sheetName val="O III Speciman Manegment"/>
      <sheetName val="O IV Diagnostics"/>
      <sheetName val="O V Treatment Services"/>
      <sheetName val="O VI Drug Access"/>
      <sheetName val="O VII ACF"/>
      <sheetName val="O VIII ACSM"/>
    </sheetNames>
    <sheetDataSet>
      <sheetData sheetId="0" refreshError="1"/>
      <sheetData sheetId="1" refreshError="1"/>
      <sheetData sheetId="2" refreshError="1">
        <row r="41">
          <cell r="C41">
            <v>0</v>
          </cell>
          <cell r="D41">
            <v>0</v>
          </cell>
          <cell r="E41">
            <v>0</v>
          </cell>
          <cell r="F41">
            <v>0</v>
          </cell>
          <cell r="G41">
            <v>0</v>
          </cell>
          <cell r="H41">
            <v>0</v>
          </cell>
          <cell r="I41">
            <v>0</v>
          </cell>
        </row>
      </sheetData>
      <sheetData sheetId="3" refreshError="1">
        <row r="41">
          <cell r="C41">
            <v>0</v>
          </cell>
          <cell r="D41">
            <v>0</v>
          </cell>
          <cell r="E41">
            <v>0</v>
          </cell>
          <cell r="F41">
            <v>0</v>
          </cell>
          <cell r="G41">
            <v>0</v>
          </cell>
          <cell r="H41">
            <v>0</v>
          </cell>
          <cell r="I41">
            <v>0</v>
          </cell>
        </row>
      </sheetData>
      <sheetData sheetId="4" refreshError="1"/>
      <sheetData sheetId="5" refreshError="1">
        <row r="41">
          <cell r="C41">
            <v>0</v>
          </cell>
          <cell r="D41">
            <v>0</v>
          </cell>
          <cell r="E41">
            <v>0</v>
          </cell>
          <cell r="F41">
            <v>0</v>
          </cell>
          <cell r="G41">
            <v>0</v>
          </cell>
          <cell r="H41">
            <v>0</v>
          </cell>
          <cell r="I41">
            <v>0</v>
          </cell>
        </row>
      </sheetData>
      <sheetData sheetId="6" refreshError="1">
        <row r="41">
          <cell r="C41">
            <v>0</v>
          </cell>
          <cell r="D41">
            <v>0</v>
          </cell>
          <cell r="E41">
            <v>0</v>
          </cell>
          <cell r="F41">
            <v>0</v>
          </cell>
          <cell r="G41">
            <v>0</v>
          </cell>
          <cell r="H41">
            <v>0</v>
          </cell>
          <cell r="I41">
            <v>0</v>
          </cell>
        </row>
      </sheetData>
      <sheetData sheetId="7" refreshError="1">
        <row r="41">
          <cell r="C41">
            <v>0</v>
          </cell>
          <cell r="E41">
            <v>0</v>
          </cell>
          <cell r="F41">
            <v>0</v>
          </cell>
          <cell r="G41">
            <v>0</v>
          </cell>
          <cell r="I41">
            <v>0</v>
          </cell>
        </row>
      </sheetData>
      <sheetData sheetId="8" refreshError="1">
        <row r="41">
          <cell r="C41">
            <v>0</v>
          </cell>
          <cell r="D41">
            <v>0</v>
          </cell>
          <cell r="E41">
            <v>0</v>
          </cell>
          <cell r="F41">
            <v>0</v>
          </cell>
          <cell r="G41">
            <v>0</v>
          </cell>
          <cell r="H41">
            <v>0</v>
          </cell>
          <cell r="I41">
            <v>0</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hyperlink" Target="javascript:%20void(%220%22)" TargetMode="External"/><Relationship Id="rId13" Type="http://schemas.openxmlformats.org/officeDocument/2006/relationships/hyperlink" Target="javascript:%20void(%220%22)" TargetMode="External"/><Relationship Id="rId3" Type="http://schemas.openxmlformats.org/officeDocument/2006/relationships/hyperlink" Target="javascript:%20void(%220%22)" TargetMode="External"/><Relationship Id="rId7" Type="http://schemas.openxmlformats.org/officeDocument/2006/relationships/hyperlink" Target="javascript:%20void(%220%22)" TargetMode="External"/><Relationship Id="rId12" Type="http://schemas.openxmlformats.org/officeDocument/2006/relationships/hyperlink" Target="javascript:%20void(%220%22)" TargetMode="External"/><Relationship Id="rId2" Type="http://schemas.openxmlformats.org/officeDocument/2006/relationships/hyperlink" Target="javascript:%20void(%220%22)" TargetMode="External"/><Relationship Id="rId1" Type="http://schemas.openxmlformats.org/officeDocument/2006/relationships/hyperlink" Target="javascript:%20void(%220%22)" TargetMode="External"/><Relationship Id="rId6" Type="http://schemas.openxmlformats.org/officeDocument/2006/relationships/hyperlink" Target="javascript:%20void(%220%22)" TargetMode="External"/><Relationship Id="rId11" Type="http://schemas.openxmlformats.org/officeDocument/2006/relationships/hyperlink" Target="javascript:%20void(%220%22)" TargetMode="External"/><Relationship Id="rId5" Type="http://schemas.openxmlformats.org/officeDocument/2006/relationships/hyperlink" Target="javascript:%20void(%220%22)" TargetMode="External"/><Relationship Id="rId10" Type="http://schemas.openxmlformats.org/officeDocument/2006/relationships/hyperlink" Target="javascript:%20void(%220%22)" TargetMode="External"/><Relationship Id="rId4" Type="http://schemas.openxmlformats.org/officeDocument/2006/relationships/hyperlink" Target="javascript:%20void(%220%22)" TargetMode="External"/><Relationship Id="rId9" Type="http://schemas.openxmlformats.org/officeDocument/2006/relationships/hyperlink" Target="javascript:%20void(%220%22)" TargetMode="External"/><Relationship Id="rId1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R358"/>
  <sheetViews>
    <sheetView zoomScale="70" zoomScaleNormal="70" zoomScaleSheetLayoutView="100" workbookViewId="0">
      <pane ySplit="1" topLeftCell="A263" activePane="bottomLeft" state="frozen"/>
      <selection pane="bottomLeft" activeCell="L269" sqref="L269"/>
    </sheetView>
  </sheetViews>
  <sheetFormatPr defaultColWidth="8.85546875" defaultRowHeight="15"/>
  <cols>
    <col min="1" max="1" width="7.5703125" style="173" customWidth="1"/>
    <col min="2" max="2" width="15.140625" style="141" customWidth="1"/>
    <col min="3" max="3" width="14" style="141" customWidth="1"/>
    <col min="4" max="4" width="30.5703125" style="141" customWidth="1"/>
    <col min="5" max="5" width="8.7109375" style="141" customWidth="1"/>
    <col min="6" max="6" width="17.5703125" style="141" bestFit="1" customWidth="1"/>
    <col min="7" max="7" width="14.85546875" style="141" customWidth="1"/>
    <col min="8" max="11" width="10.28515625" style="141" customWidth="1"/>
    <col min="12" max="12" width="15.140625" style="173" customWidth="1"/>
    <col min="13" max="13" width="11.28515625" style="173" customWidth="1"/>
    <col min="14" max="14" width="10.28515625" style="173" customWidth="1"/>
    <col min="15" max="15" width="11.28515625" style="173" customWidth="1"/>
    <col min="16" max="16" width="10.140625" style="174" customWidth="1"/>
    <col min="17" max="17" width="38.140625" style="141" customWidth="1"/>
    <col min="18" max="16384" width="8.85546875" style="141"/>
  </cols>
  <sheetData>
    <row r="1" spans="1:18" ht="153">
      <c r="A1" s="14" t="s">
        <v>625</v>
      </c>
      <c r="B1" s="13" t="s">
        <v>1</v>
      </c>
      <c r="C1" s="14" t="s">
        <v>2</v>
      </c>
      <c r="D1" s="14" t="s">
        <v>3</v>
      </c>
      <c r="E1" s="14" t="s">
        <v>4</v>
      </c>
      <c r="F1" s="14" t="s">
        <v>5</v>
      </c>
      <c r="G1" s="119" t="s">
        <v>560</v>
      </c>
      <c r="H1" s="119" t="s">
        <v>564</v>
      </c>
      <c r="I1" s="119" t="s">
        <v>565</v>
      </c>
      <c r="J1" s="119" t="s">
        <v>566</v>
      </c>
      <c r="K1" s="119" t="s">
        <v>479</v>
      </c>
      <c r="L1" s="14" t="s">
        <v>7</v>
      </c>
      <c r="M1" s="14" t="s">
        <v>498</v>
      </c>
      <c r="N1" s="14" t="s">
        <v>9</v>
      </c>
      <c r="O1" s="14" t="s">
        <v>499</v>
      </c>
      <c r="P1" s="59" t="s">
        <v>11</v>
      </c>
      <c r="Q1" s="14" t="s">
        <v>12</v>
      </c>
      <c r="R1" s="212"/>
    </row>
    <row r="2" spans="1:18">
      <c r="A2" s="236">
        <v>1</v>
      </c>
      <c r="B2" s="381" t="s">
        <v>13</v>
      </c>
      <c r="C2" s="381"/>
      <c r="D2" s="381"/>
      <c r="E2" s="381"/>
      <c r="F2" s="381"/>
      <c r="G2" s="381"/>
      <c r="H2" s="381"/>
      <c r="I2" s="381"/>
      <c r="J2" s="381"/>
      <c r="K2" s="381"/>
      <c r="L2" s="381"/>
      <c r="M2" s="381"/>
      <c r="N2" s="381"/>
      <c r="O2" s="381"/>
      <c r="P2" s="64">
        <f>P3+P6+P10</f>
        <v>3338.88</v>
      </c>
      <c r="Q2" s="22"/>
      <c r="R2" s="212"/>
    </row>
    <row r="3" spans="1:18" s="143" customFormat="1" ht="45">
      <c r="A3" s="29"/>
      <c r="B3" s="8" t="s">
        <v>313</v>
      </c>
      <c r="C3" s="7"/>
      <c r="D3" s="142" t="s">
        <v>316</v>
      </c>
      <c r="E3" s="23" t="s">
        <v>626</v>
      </c>
      <c r="F3" s="23" t="s">
        <v>561</v>
      </c>
      <c r="G3" s="24"/>
      <c r="H3" s="24"/>
      <c r="I3" s="24"/>
      <c r="J3" s="24"/>
      <c r="K3" s="24"/>
      <c r="L3" s="103"/>
      <c r="M3" s="29"/>
      <c r="N3" s="29"/>
      <c r="O3" s="29"/>
      <c r="P3" s="106">
        <f>P4+P5</f>
        <v>158.88</v>
      </c>
      <c r="Q3" s="142"/>
      <c r="R3" s="213"/>
    </row>
    <row r="4" spans="1:18" s="144" customFormat="1" ht="45">
      <c r="A4" s="35"/>
      <c r="B4" s="48"/>
      <c r="C4" s="49"/>
      <c r="D4" s="28" t="s">
        <v>460</v>
      </c>
      <c r="E4" s="50"/>
      <c r="F4" s="50"/>
      <c r="G4" s="51"/>
      <c r="H4" s="51"/>
      <c r="I4" s="51"/>
      <c r="J4" s="51"/>
      <c r="K4" s="51"/>
      <c r="L4" s="98" t="s">
        <v>465</v>
      </c>
      <c r="M4" s="126">
        <v>800</v>
      </c>
      <c r="N4" s="126">
        <f>M4/100000</f>
        <v>8.0000000000000002E-3</v>
      </c>
      <c r="O4" s="35">
        <v>15000</v>
      </c>
      <c r="P4" s="60">
        <f t="shared" ref="P4:P5" si="0">N4*O4</f>
        <v>120</v>
      </c>
      <c r="Q4" s="261" t="s">
        <v>649</v>
      </c>
      <c r="R4" s="214"/>
    </row>
    <row r="5" spans="1:18" s="144" customFormat="1" ht="90">
      <c r="A5" s="35"/>
      <c r="B5" s="48"/>
      <c r="C5" s="49"/>
      <c r="D5" s="28" t="s">
        <v>461</v>
      </c>
      <c r="E5" s="50"/>
      <c r="F5" s="50"/>
      <c r="G5" s="51"/>
      <c r="H5" s="51"/>
      <c r="I5" s="51"/>
      <c r="J5" s="51"/>
      <c r="K5" s="51"/>
      <c r="L5" s="98" t="s">
        <v>466</v>
      </c>
      <c r="M5" s="126">
        <v>432</v>
      </c>
      <c r="N5" s="126">
        <f>M5/100000</f>
        <v>4.3200000000000001E-3</v>
      </c>
      <c r="O5" s="35">
        <v>9000</v>
      </c>
      <c r="P5" s="60">
        <f t="shared" si="0"/>
        <v>38.880000000000003</v>
      </c>
      <c r="Q5" s="262" t="s">
        <v>650</v>
      </c>
      <c r="R5" s="214"/>
    </row>
    <row r="6" spans="1:18" s="143" customFormat="1" ht="34.5" customHeight="1">
      <c r="A6" s="29"/>
      <c r="B6" s="8" t="s">
        <v>314</v>
      </c>
      <c r="C6" s="145" t="s">
        <v>315</v>
      </c>
      <c r="D6" s="32" t="s">
        <v>317</v>
      </c>
      <c r="E6" s="23" t="s">
        <v>626</v>
      </c>
      <c r="F6" s="23" t="s">
        <v>561</v>
      </c>
      <c r="G6" s="24"/>
      <c r="H6" s="24"/>
      <c r="I6" s="24"/>
      <c r="J6" s="24"/>
      <c r="K6" s="24"/>
      <c r="L6" s="103"/>
      <c r="M6" s="29"/>
      <c r="N6" s="29"/>
      <c r="O6" s="29"/>
      <c r="P6" s="106">
        <f>P7+P8+P9</f>
        <v>3180</v>
      </c>
      <c r="Q6" s="142"/>
      <c r="R6" s="213"/>
    </row>
    <row r="7" spans="1:18" s="144" customFormat="1" ht="34.5" customHeight="1">
      <c r="A7" s="35"/>
      <c r="B7" s="48"/>
      <c r="C7" s="146"/>
      <c r="D7" s="34" t="s">
        <v>462</v>
      </c>
      <c r="E7" s="50"/>
      <c r="F7" s="50"/>
      <c r="G7" s="51"/>
      <c r="H7" s="51"/>
      <c r="I7" s="263">
        <v>2240</v>
      </c>
      <c r="J7" s="263">
        <v>974.79</v>
      </c>
      <c r="K7" s="51"/>
      <c r="L7" s="98" t="s">
        <v>467</v>
      </c>
      <c r="M7" s="126">
        <v>3000</v>
      </c>
      <c r="N7" s="126">
        <f t="shared" ref="N7:N10" si="1">M7/100000</f>
        <v>0.03</v>
      </c>
      <c r="O7" s="242">
        <v>75000</v>
      </c>
      <c r="P7" s="60">
        <f t="shared" ref="P7:P8" si="2">N7*O7</f>
        <v>2250</v>
      </c>
      <c r="Q7" s="261" t="s">
        <v>651</v>
      </c>
      <c r="R7" s="214"/>
    </row>
    <row r="8" spans="1:18" s="144" customFormat="1" ht="34.5" customHeight="1">
      <c r="A8" s="35"/>
      <c r="B8" s="48"/>
      <c r="C8" s="146"/>
      <c r="D8" s="34" t="s">
        <v>463</v>
      </c>
      <c r="E8" s="50"/>
      <c r="F8" s="50"/>
      <c r="G8" s="51"/>
      <c r="H8" s="51"/>
      <c r="I8" s="263">
        <v>15</v>
      </c>
      <c r="J8" s="263"/>
      <c r="K8" s="51"/>
      <c r="L8" s="98" t="s">
        <v>467</v>
      </c>
      <c r="M8" s="126">
        <v>3000</v>
      </c>
      <c r="N8" s="126">
        <f t="shared" si="1"/>
        <v>0.03</v>
      </c>
      <c r="O8" s="242">
        <v>25000</v>
      </c>
      <c r="P8" s="60">
        <f t="shared" si="2"/>
        <v>750</v>
      </c>
      <c r="Q8" s="261" t="s">
        <v>651</v>
      </c>
      <c r="R8" s="214"/>
    </row>
    <row r="9" spans="1:18" s="144" customFormat="1" ht="34.5" customHeight="1">
      <c r="A9" s="35"/>
      <c r="B9" s="48"/>
      <c r="C9" s="146"/>
      <c r="D9" s="34" t="s">
        <v>464</v>
      </c>
      <c r="E9" s="50"/>
      <c r="F9" s="50"/>
      <c r="G9" s="51"/>
      <c r="H9" s="51"/>
      <c r="I9" s="263">
        <v>120</v>
      </c>
      <c r="J9" s="263"/>
      <c r="K9" s="51"/>
      <c r="L9" s="98" t="s">
        <v>468</v>
      </c>
      <c r="M9" s="126">
        <v>6000</v>
      </c>
      <c r="N9" s="126">
        <f t="shared" si="1"/>
        <v>0.06</v>
      </c>
      <c r="O9" s="242">
        <v>3000</v>
      </c>
      <c r="P9" s="60">
        <f t="shared" ref="P9:P10" si="3">N9*O9</f>
        <v>180</v>
      </c>
      <c r="Q9" s="261" t="s">
        <v>651</v>
      </c>
      <c r="R9" s="214"/>
    </row>
    <row r="10" spans="1:18" s="143" customFormat="1" ht="43.5" customHeight="1">
      <c r="A10" s="29"/>
      <c r="B10" s="8" t="s">
        <v>574</v>
      </c>
      <c r="C10" s="145" t="s">
        <v>14</v>
      </c>
      <c r="D10" s="147" t="s">
        <v>575</v>
      </c>
      <c r="E10" s="23" t="s">
        <v>626</v>
      </c>
      <c r="F10" s="23" t="s">
        <v>561</v>
      </c>
      <c r="G10" s="24"/>
      <c r="H10" s="24"/>
      <c r="I10" s="24"/>
      <c r="J10" s="24"/>
      <c r="K10" s="24"/>
      <c r="L10" s="103"/>
      <c r="M10" s="29"/>
      <c r="N10" s="106">
        <f t="shared" si="1"/>
        <v>0</v>
      </c>
      <c r="O10" s="29"/>
      <c r="P10" s="106">
        <f t="shared" si="3"/>
        <v>0</v>
      </c>
      <c r="Q10" s="142"/>
      <c r="R10" s="213"/>
    </row>
    <row r="11" spans="1:18" ht="19.5" customHeight="1">
      <c r="A11" s="236">
        <v>2</v>
      </c>
      <c r="B11" s="377" t="s">
        <v>15</v>
      </c>
      <c r="C11" s="377"/>
      <c r="D11" s="377"/>
      <c r="E11" s="377"/>
      <c r="F11" s="377"/>
      <c r="G11" s="377"/>
      <c r="H11" s="377"/>
      <c r="I11" s="377"/>
      <c r="J11" s="377"/>
      <c r="K11" s="377"/>
      <c r="L11" s="377"/>
      <c r="M11" s="377"/>
      <c r="N11" s="377"/>
      <c r="O11" s="377"/>
      <c r="P11" s="64">
        <f>P12</f>
        <v>36.049999999999997</v>
      </c>
      <c r="Q11" s="22"/>
      <c r="R11" s="212" t="s">
        <v>273</v>
      </c>
    </row>
    <row r="12" spans="1:18" s="143" customFormat="1" ht="38.25">
      <c r="A12" s="29"/>
      <c r="B12" s="148" t="s">
        <v>318</v>
      </c>
      <c r="C12" s="149"/>
      <c r="D12" s="145" t="s">
        <v>319</v>
      </c>
      <c r="E12" s="23" t="s">
        <v>626</v>
      </c>
      <c r="F12" s="23" t="s">
        <v>561</v>
      </c>
      <c r="G12" s="32"/>
      <c r="H12" s="32"/>
      <c r="I12" s="32"/>
      <c r="J12" s="32"/>
      <c r="K12" s="32"/>
      <c r="L12" s="29"/>
      <c r="M12" s="29"/>
      <c r="N12" s="29"/>
      <c r="O12" s="29"/>
      <c r="P12" s="106">
        <f>P13+P14</f>
        <v>36.049999999999997</v>
      </c>
      <c r="Q12" s="142"/>
      <c r="R12" s="213"/>
    </row>
    <row r="13" spans="1:18" ht="45">
      <c r="A13" s="128"/>
      <c r="B13" s="150"/>
      <c r="C13" s="151"/>
      <c r="D13" s="152" t="s">
        <v>469</v>
      </c>
      <c r="E13" s="15"/>
      <c r="F13" s="15"/>
      <c r="G13" s="15"/>
      <c r="H13" s="15"/>
      <c r="I13" s="15"/>
      <c r="J13" s="15"/>
      <c r="K13" s="15"/>
      <c r="L13" s="128" t="s">
        <v>470</v>
      </c>
      <c r="M13" s="35">
        <v>200</v>
      </c>
      <c r="N13" s="60">
        <f>M13/100000</f>
        <v>2E-3</v>
      </c>
      <c r="O13" s="242" t="s">
        <v>652</v>
      </c>
      <c r="P13" s="38">
        <v>22.55</v>
      </c>
      <c r="Q13" s="261" t="s">
        <v>653</v>
      </c>
      <c r="R13" s="212"/>
    </row>
    <row r="14" spans="1:18" ht="45">
      <c r="A14" s="128"/>
      <c r="B14" s="150"/>
      <c r="C14" s="151"/>
      <c r="D14" s="152" t="s">
        <v>539</v>
      </c>
      <c r="E14" s="15"/>
      <c r="F14" s="15"/>
      <c r="G14" s="15"/>
      <c r="H14" s="15"/>
      <c r="I14" s="15"/>
      <c r="J14" s="15"/>
      <c r="K14" s="15"/>
      <c r="L14" s="128" t="s">
        <v>471</v>
      </c>
      <c r="M14" s="35">
        <v>200</v>
      </c>
      <c r="N14" s="60">
        <f>M14/100000</f>
        <v>2E-3</v>
      </c>
      <c r="O14" s="242" t="s">
        <v>654</v>
      </c>
      <c r="P14" s="38">
        <v>13.5</v>
      </c>
      <c r="Q14" s="261" t="s">
        <v>653</v>
      </c>
      <c r="R14" s="212"/>
    </row>
    <row r="15" spans="1:18" ht="30.75" customHeight="1">
      <c r="A15" s="236">
        <v>3</v>
      </c>
      <c r="B15" s="377" t="s">
        <v>16</v>
      </c>
      <c r="C15" s="377"/>
      <c r="D15" s="377"/>
      <c r="E15" s="377"/>
      <c r="F15" s="377"/>
      <c r="G15" s="377"/>
      <c r="H15" s="377"/>
      <c r="I15" s="377"/>
      <c r="J15" s="377"/>
      <c r="K15" s="377"/>
      <c r="L15" s="377"/>
      <c r="M15" s="377"/>
      <c r="N15" s="377"/>
      <c r="O15" s="377"/>
      <c r="P15" s="64">
        <f>P16</f>
        <v>534.60400000000004</v>
      </c>
      <c r="Q15" s="22"/>
      <c r="R15" s="212" t="s">
        <v>273</v>
      </c>
    </row>
    <row r="16" spans="1:18" s="143" customFormat="1" ht="33.75">
      <c r="A16" s="29"/>
      <c r="B16" s="130" t="s">
        <v>579</v>
      </c>
      <c r="C16" s="130"/>
      <c r="D16" s="130" t="s">
        <v>578</v>
      </c>
      <c r="E16" s="23" t="s">
        <v>626</v>
      </c>
      <c r="F16" s="23" t="s">
        <v>561</v>
      </c>
      <c r="G16" s="24"/>
      <c r="H16" s="24"/>
      <c r="I16" s="24"/>
      <c r="J16" s="24"/>
      <c r="K16" s="24"/>
      <c r="L16" s="103"/>
      <c r="M16" s="103"/>
      <c r="N16" s="103"/>
      <c r="O16" s="103"/>
      <c r="P16" s="74">
        <f>P17+P18+P19+P20</f>
        <v>534.60400000000004</v>
      </c>
      <c r="Q16" s="8"/>
      <c r="R16" s="213"/>
    </row>
    <row r="17" spans="1:18" ht="60">
      <c r="A17" s="128"/>
      <c r="B17" s="153" t="s">
        <v>323</v>
      </c>
      <c r="C17" s="153" t="s">
        <v>323</v>
      </c>
      <c r="D17" s="153" t="s">
        <v>320</v>
      </c>
      <c r="E17" s="15"/>
      <c r="F17" s="15"/>
      <c r="G17" s="15"/>
      <c r="H17" s="15"/>
      <c r="I17" s="15">
        <v>10</v>
      </c>
      <c r="J17" s="15"/>
      <c r="K17" s="15"/>
      <c r="L17" s="128" t="s">
        <v>472</v>
      </c>
      <c r="M17" s="126">
        <v>1000</v>
      </c>
      <c r="N17" s="126">
        <f>M17/100000</f>
        <v>0.01</v>
      </c>
      <c r="O17" s="10">
        <v>20000</v>
      </c>
      <c r="P17" s="38">
        <f>O17*N17</f>
        <v>200</v>
      </c>
      <c r="Q17" s="261" t="s">
        <v>651</v>
      </c>
      <c r="R17" s="212"/>
    </row>
    <row r="18" spans="1:18" ht="45">
      <c r="A18" s="128"/>
      <c r="B18" s="153" t="s">
        <v>324</v>
      </c>
      <c r="C18" s="153" t="s">
        <v>324</v>
      </c>
      <c r="D18" s="153" t="s">
        <v>321</v>
      </c>
      <c r="E18" s="15"/>
      <c r="F18" s="15"/>
      <c r="G18" s="15"/>
      <c r="H18" s="15"/>
      <c r="I18" s="15">
        <v>15</v>
      </c>
      <c r="J18" s="15"/>
      <c r="K18" s="15"/>
      <c r="L18" s="128" t="s">
        <v>473</v>
      </c>
      <c r="M18" s="126">
        <v>5000</v>
      </c>
      <c r="N18" s="126">
        <f t="shared" ref="N18:N19" si="4">M18/100000</f>
        <v>0.05</v>
      </c>
      <c r="O18" s="10">
        <v>3000</v>
      </c>
      <c r="P18" s="38">
        <f>O18*N18</f>
        <v>150</v>
      </c>
      <c r="Q18" s="261" t="s">
        <v>651</v>
      </c>
      <c r="R18" s="212"/>
    </row>
    <row r="19" spans="1:18" s="144" customFormat="1" ht="75">
      <c r="A19" s="35"/>
      <c r="B19" s="154" t="s">
        <v>325</v>
      </c>
      <c r="C19" s="154" t="s">
        <v>325</v>
      </c>
      <c r="D19" s="154" t="s">
        <v>322</v>
      </c>
      <c r="E19" s="34"/>
      <c r="F19" s="34"/>
      <c r="G19" s="34"/>
      <c r="H19" s="34"/>
      <c r="I19" s="15">
        <v>500</v>
      </c>
      <c r="J19" s="34"/>
      <c r="K19" s="34"/>
      <c r="L19" s="35" t="s">
        <v>474</v>
      </c>
      <c r="M19" s="126">
        <v>500</v>
      </c>
      <c r="N19" s="126">
        <f t="shared" si="4"/>
        <v>5.0000000000000001E-3</v>
      </c>
      <c r="O19" s="10">
        <v>1500</v>
      </c>
      <c r="P19" s="60">
        <f>O19*N19</f>
        <v>7.5</v>
      </c>
      <c r="Q19" s="261" t="s">
        <v>651</v>
      </c>
      <c r="R19" s="214"/>
    </row>
    <row r="20" spans="1:18" s="157" customFormat="1" ht="24.75" customHeight="1">
      <c r="A20" s="134"/>
      <c r="B20" s="155" t="s">
        <v>576</v>
      </c>
      <c r="C20" s="133"/>
      <c r="D20" s="155" t="s">
        <v>577</v>
      </c>
      <c r="E20" s="133" t="s">
        <v>626</v>
      </c>
      <c r="F20" s="133" t="s">
        <v>561</v>
      </c>
      <c r="G20" s="133"/>
      <c r="H20" s="133"/>
      <c r="I20" s="133"/>
      <c r="J20" s="133"/>
      <c r="K20" s="133"/>
      <c r="L20" s="134"/>
      <c r="M20" s="134"/>
      <c r="N20" s="134"/>
      <c r="O20" s="134"/>
      <c r="P20" s="135">
        <f>P21+P22+P23</f>
        <v>177.10400000000001</v>
      </c>
      <c r="Q20" s="156"/>
      <c r="R20" s="215"/>
    </row>
    <row r="21" spans="1:18" s="144" customFormat="1" ht="45">
      <c r="A21" s="35"/>
      <c r="B21" s="34"/>
      <c r="C21" s="158" t="s">
        <v>533</v>
      </c>
      <c r="D21" s="159" t="s">
        <v>534</v>
      </c>
      <c r="E21" s="34"/>
      <c r="F21" s="34"/>
      <c r="G21" s="34"/>
      <c r="H21" s="34"/>
      <c r="I21" s="34"/>
      <c r="J21" s="34"/>
      <c r="K21" s="34"/>
      <c r="L21" s="10" t="s">
        <v>509</v>
      </c>
      <c r="M21" s="10">
        <v>1000</v>
      </c>
      <c r="N21" s="60">
        <f>M21/100000</f>
        <v>0.01</v>
      </c>
      <c r="O21" s="10">
        <v>56</v>
      </c>
      <c r="P21" s="60">
        <f>N21*O21</f>
        <v>0.56000000000000005</v>
      </c>
      <c r="Q21" s="15" t="s">
        <v>656</v>
      </c>
      <c r="R21" s="214"/>
    </row>
    <row r="22" spans="1:18" s="144" customFormat="1" ht="77.25">
      <c r="A22" s="35"/>
      <c r="B22" s="154"/>
      <c r="C22" s="158" t="s">
        <v>535</v>
      </c>
      <c r="D22" s="159" t="s">
        <v>536</v>
      </c>
      <c r="E22" s="34"/>
      <c r="F22" s="34"/>
      <c r="G22" s="34"/>
      <c r="H22" s="34"/>
      <c r="I22" s="34"/>
      <c r="J22" s="34"/>
      <c r="K22" s="34"/>
      <c r="L22" s="10" t="s">
        <v>655</v>
      </c>
      <c r="M22" s="10">
        <v>500</v>
      </c>
      <c r="N22" s="266">
        <f>M22/100000</f>
        <v>5.0000000000000001E-3</v>
      </c>
      <c r="O22" s="35">
        <v>156</v>
      </c>
      <c r="P22" s="60">
        <f>N22*O22</f>
        <v>0.78</v>
      </c>
      <c r="Q22" s="265" t="s">
        <v>657</v>
      </c>
      <c r="R22" s="214"/>
    </row>
    <row r="23" spans="1:18" s="160" customFormat="1">
      <c r="A23" s="137"/>
      <c r="B23" s="136"/>
      <c r="C23" s="161" t="s">
        <v>326</v>
      </c>
      <c r="D23" s="162" t="s">
        <v>328</v>
      </c>
      <c r="E23" s="163"/>
      <c r="F23" s="136"/>
      <c r="G23" s="136"/>
      <c r="H23" s="136"/>
      <c r="I23" s="136"/>
      <c r="J23" s="136"/>
      <c r="K23" s="136"/>
      <c r="L23" s="137"/>
      <c r="M23" s="137"/>
      <c r="N23" s="137"/>
      <c r="O23" s="137"/>
      <c r="P23" s="138">
        <f>P24+P25+P26+P29+P30+P31</f>
        <v>175.76400000000001</v>
      </c>
      <c r="Q23" s="136"/>
      <c r="R23" s="216"/>
    </row>
    <row r="24" spans="1:18" s="144" customFormat="1" ht="60">
      <c r="A24" s="35"/>
      <c r="B24" s="154"/>
      <c r="C24" s="34"/>
      <c r="D24" s="15" t="s">
        <v>191</v>
      </c>
      <c r="E24" s="164"/>
      <c r="F24" s="34"/>
      <c r="G24" s="34"/>
      <c r="H24" s="34"/>
      <c r="I24" s="34">
        <v>0</v>
      </c>
      <c r="J24" s="34"/>
      <c r="K24" s="34"/>
      <c r="L24" s="35" t="s">
        <v>540</v>
      </c>
      <c r="M24" s="10">
        <v>5</v>
      </c>
      <c r="N24" s="128">
        <f t="shared" ref="N24:N31" si="5">M24/100000</f>
        <v>5.0000000000000002E-5</v>
      </c>
      <c r="O24" s="10">
        <v>2600000</v>
      </c>
      <c r="P24" s="68">
        <f t="shared" ref="P24:P30" si="6">O24*N24</f>
        <v>130</v>
      </c>
      <c r="Q24" s="15" t="s">
        <v>658</v>
      </c>
      <c r="R24" s="214"/>
    </row>
    <row r="25" spans="1:18" s="144" customFormat="1" ht="45">
      <c r="A25" s="35"/>
      <c r="B25" s="154"/>
      <c r="C25" s="34"/>
      <c r="D25" s="94" t="s">
        <v>414</v>
      </c>
      <c r="E25" s="164"/>
      <c r="F25" s="34"/>
      <c r="G25" s="34"/>
      <c r="H25" s="34"/>
      <c r="I25" s="34">
        <v>36</v>
      </c>
      <c r="J25" s="34"/>
      <c r="K25" s="34"/>
      <c r="L25" s="35" t="s">
        <v>475</v>
      </c>
      <c r="M25" s="10">
        <v>500</v>
      </c>
      <c r="N25" s="128">
        <f t="shared" si="5"/>
        <v>5.0000000000000001E-3</v>
      </c>
      <c r="O25" s="10">
        <v>500</v>
      </c>
      <c r="P25" s="68">
        <f t="shared" si="6"/>
        <v>2.5</v>
      </c>
      <c r="Q25" s="261" t="s">
        <v>659</v>
      </c>
      <c r="R25" s="214"/>
    </row>
    <row r="26" spans="1:18" s="144" customFormat="1">
      <c r="A26" s="35"/>
      <c r="B26" s="154"/>
      <c r="C26" s="34"/>
      <c r="D26" s="186" t="s">
        <v>580</v>
      </c>
      <c r="E26" s="187"/>
      <c r="F26" s="188"/>
      <c r="G26" s="188"/>
      <c r="H26" s="188"/>
      <c r="I26" s="188"/>
      <c r="J26" s="188"/>
      <c r="K26" s="188"/>
      <c r="L26" s="189"/>
      <c r="M26" s="189"/>
      <c r="N26" s="189"/>
      <c r="O26" s="189"/>
      <c r="P26" s="190">
        <f>P27+P28</f>
        <v>0</v>
      </c>
      <c r="Q26" s="34"/>
      <c r="R26" s="214"/>
    </row>
    <row r="27" spans="1:18" s="144" customFormat="1" ht="75">
      <c r="A27" s="35"/>
      <c r="B27" s="34"/>
      <c r="C27" s="34"/>
      <c r="D27" s="34" t="s">
        <v>434</v>
      </c>
      <c r="E27" s="34"/>
      <c r="F27" s="34"/>
      <c r="G27" s="34"/>
      <c r="H27" s="34"/>
      <c r="I27" s="34"/>
      <c r="J27" s="34"/>
      <c r="K27" s="34"/>
      <c r="L27" s="35" t="s">
        <v>496</v>
      </c>
      <c r="M27" s="167"/>
      <c r="N27" s="128">
        <f t="shared" si="5"/>
        <v>0</v>
      </c>
      <c r="O27" s="167"/>
      <c r="P27" s="60">
        <f>O27*N27</f>
        <v>0</v>
      </c>
      <c r="Q27" s="28"/>
      <c r="R27" s="214"/>
    </row>
    <row r="28" spans="1:18" s="144" customFormat="1" ht="67.5" customHeight="1">
      <c r="A28" s="35"/>
      <c r="B28" s="34"/>
      <c r="C28" s="34"/>
      <c r="D28" s="34" t="s">
        <v>435</v>
      </c>
      <c r="E28" s="34"/>
      <c r="F28" s="34"/>
      <c r="G28" s="34"/>
      <c r="H28" s="34"/>
      <c r="I28" s="34"/>
      <c r="J28" s="34"/>
      <c r="K28" s="34"/>
      <c r="L28" s="35" t="s">
        <v>495</v>
      </c>
      <c r="M28" s="167"/>
      <c r="N28" s="128">
        <f t="shared" si="5"/>
        <v>0</v>
      </c>
      <c r="O28" s="167"/>
      <c r="P28" s="60">
        <f>O28*N28</f>
        <v>0</v>
      </c>
      <c r="Q28" s="28"/>
      <c r="R28" s="214"/>
    </row>
    <row r="29" spans="1:18" s="144" customFormat="1" ht="60">
      <c r="A29" s="35"/>
      <c r="B29" s="154"/>
      <c r="C29" s="34"/>
      <c r="D29" s="94" t="s">
        <v>477</v>
      </c>
      <c r="E29" s="164"/>
      <c r="F29" s="34"/>
      <c r="G29" s="34"/>
      <c r="H29" s="34"/>
      <c r="I29" s="34"/>
      <c r="J29" s="34"/>
      <c r="K29" s="34"/>
      <c r="L29" s="35" t="s">
        <v>476</v>
      </c>
      <c r="M29" s="35"/>
      <c r="N29" s="128">
        <f t="shared" si="5"/>
        <v>0</v>
      </c>
      <c r="O29" s="35"/>
      <c r="P29" s="60">
        <f t="shared" si="6"/>
        <v>0</v>
      </c>
      <c r="Q29" s="34"/>
      <c r="R29" s="214"/>
    </row>
    <row r="30" spans="1:18" s="144" customFormat="1" ht="30">
      <c r="A30" s="35"/>
      <c r="B30" s="154"/>
      <c r="C30" s="34"/>
      <c r="D30" s="34" t="s">
        <v>581</v>
      </c>
      <c r="E30" s="164"/>
      <c r="F30" s="34"/>
      <c r="G30" s="34"/>
      <c r="H30" s="34"/>
      <c r="I30" s="34"/>
      <c r="J30" s="34"/>
      <c r="K30" s="34"/>
      <c r="L30" s="35"/>
      <c r="M30" s="35"/>
      <c r="N30" s="128">
        <f t="shared" si="5"/>
        <v>0</v>
      </c>
      <c r="O30" s="35"/>
      <c r="P30" s="60">
        <f t="shared" si="6"/>
        <v>0</v>
      </c>
      <c r="Q30" s="34"/>
      <c r="R30" s="214"/>
    </row>
    <row r="31" spans="1:18" s="144" customFormat="1" ht="240">
      <c r="A31" s="35"/>
      <c r="B31" s="154"/>
      <c r="C31" s="34"/>
      <c r="D31" s="94" t="s">
        <v>327</v>
      </c>
      <c r="E31" s="164"/>
      <c r="F31" s="34"/>
      <c r="G31" s="34"/>
      <c r="H31" s="34"/>
      <c r="I31" s="34"/>
      <c r="J31" s="34"/>
      <c r="K31" s="34"/>
      <c r="L31" s="10" t="s">
        <v>660</v>
      </c>
      <c r="M31" s="267">
        <v>5</v>
      </c>
      <c r="N31" s="128">
        <f t="shared" si="5"/>
        <v>5.0000000000000002E-5</v>
      </c>
      <c r="O31" s="267">
        <v>650000</v>
      </c>
      <c r="P31" s="60">
        <f>O31*N31+10.764</f>
        <v>43.263999999999996</v>
      </c>
      <c r="Q31" s="33" t="s">
        <v>661</v>
      </c>
      <c r="R31" s="214"/>
    </row>
    <row r="32" spans="1:18" s="165" customFormat="1" ht="27" customHeight="1">
      <c r="A32" s="237">
        <v>4</v>
      </c>
      <c r="B32" s="377" t="s">
        <v>346</v>
      </c>
      <c r="C32" s="377"/>
      <c r="D32" s="377"/>
      <c r="E32" s="377"/>
      <c r="F32" s="377"/>
      <c r="G32" s="377"/>
      <c r="H32" s="377"/>
      <c r="I32" s="377"/>
      <c r="J32" s="377"/>
      <c r="K32" s="377"/>
      <c r="L32" s="377"/>
      <c r="M32" s="377"/>
      <c r="N32" s="377"/>
      <c r="O32" s="377"/>
      <c r="P32" s="104"/>
      <c r="Q32" s="22"/>
      <c r="R32" s="217"/>
    </row>
    <row r="33" spans="1:18">
      <c r="A33" s="128"/>
      <c r="B33" s="15"/>
      <c r="C33" s="15"/>
      <c r="D33" s="26"/>
      <c r="E33" s="26"/>
      <c r="F33" s="26"/>
      <c r="G33" s="26"/>
      <c r="H33" s="26"/>
      <c r="I33" s="26"/>
      <c r="J33" s="26"/>
      <c r="K33" s="26"/>
      <c r="L33" s="17"/>
      <c r="M33" s="17"/>
      <c r="N33" s="17"/>
      <c r="O33" s="17"/>
      <c r="P33" s="63"/>
      <c r="Q33" s="15"/>
      <c r="R33" s="212"/>
    </row>
    <row r="34" spans="1:18" ht="18.75" customHeight="1">
      <c r="A34" s="236">
        <v>5</v>
      </c>
      <c r="B34" s="377" t="s">
        <v>19</v>
      </c>
      <c r="C34" s="377"/>
      <c r="D34" s="377"/>
      <c r="E34" s="377"/>
      <c r="F34" s="377"/>
      <c r="G34" s="377"/>
      <c r="H34" s="377"/>
      <c r="I34" s="377"/>
      <c r="J34" s="377"/>
      <c r="K34" s="377"/>
      <c r="L34" s="377"/>
      <c r="M34" s="377"/>
      <c r="N34" s="377"/>
      <c r="O34" s="377"/>
      <c r="P34" s="64">
        <f>P35</f>
        <v>17.05</v>
      </c>
      <c r="Q34" s="22"/>
      <c r="R34" s="212" t="s">
        <v>273</v>
      </c>
    </row>
    <row r="35" spans="1:18">
      <c r="A35" s="128"/>
      <c r="B35" s="8" t="s">
        <v>20</v>
      </c>
      <c r="C35" s="8" t="s">
        <v>21</v>
      </c>
      <c r="D35" s="8" t="s">
        <v>22</v>
      </c>
      <c r="E35" s="23" t="s">
        <v>626</v>
      </c>
      <c r="F35" s="23" t="s">
        <v>561</v>
      </c>
      <c r="G35" s="8"/>
      <c r="H35" s="8"/>
      <c r="I35" s="8"/>
      <c r="J35" s="8"/>
      <c r="K35" s="8"/>
      <c r="L35" s="103"/>
      <c r="M35" s="103"/>
      <c r="N35" s="103"/>
      <c r="O35" s="103"/>
      <c r="P35" s="66">
        <f>P36+P60</f>
        <v>17.05</v>
      </c>
      <c r="Q35" s="8"/>
      <c r="R35" s="212"/>
    </row>
    <row r="36" spans="1:18" s="177" customFormat="1" ht="45.75" customHeight="1">
      <c r="A36" s="132"/>
      <c r="B36" s="131"/>
      <c r="C36" s="131"/>
      <c r="D36" s="156" t="s">
        <v>480</v>
      </c>
      <c r="E36" s="133"/>
      <c r="F36" s="133"/>
      <c r="G36" s="133"/>
      <c r="H36" s="133"/>
      <c r="I36" s="133"/>
      <c r="J36" s="133"/>
      <c r="K36" s="133"/>
      <c r="L36" s="134"/>
      <c r="M36" s="134"/>
      <c r="N36" s="134"/>
      <c r="O36" s="134"/>
      <c r="P36" s="135">
        <f>P46+P59</f>
        <v>0</v>
      </c>
      <c r="Q36" s="131"/>
      <c r="R36" s="218"/>
    </row>
    <row r="37" spans="1:18">
      <c r="A37" s="128"/>
      <c r="B37" s="15"/>
      <c r="C37" s="15"/>
      <c r="D37" s="96" t="s">
        <v>24</v>
      </c>
      <c r="E37" s="15"/>
      <c r="F37" s="15"/>
      <c r="G37" s="15"/>
      <c r="H37" s="15"/>
      <c r="I37" s="15"/>
      <c r="J37" s="15"/>
      <c r="K37" s="15"/>
      <c r="L37" s="128" t="s">
        <v>482</v>
      </c>
      <c r="M37" s="128"/>
      <c r="N37" s="38">
        <f>M37/100000</f>
        <v>0</v>
      </c>
      <c r="O37" s="128"/>
      <c r="P37" s="38">
        <f>N37*O37</f>
        <v>0</v>
      </c>
      <c r="Q37" s="15"/>
      <c r="R37" s="212"/>
    </row>
    <row r="38" spans="1:18" s="144" customFormat="1" ht="36.75" customHeight="1">
      <c r="A38" s="35"/>
      <c r="B38" s="34"/>
      <c r="C38" s="34"/>
      <c r="D38" s="28" t="s">
        <v>25</v>
      </c>
      <c r="E38" s="34"/>
      <c r="F38" s="34"/>
      <c r="G38" s="34"/>
      <c r="H38" s="34"/>
      <c r="I38" s="34"/>
      <c r="J38" s="34"/>
      <c r="K38" s="34"/>
      <c r="L38" s="128" t="s">
        <v>482</v>
      </c>
      <c r="M38" s="35"/>
      <c r="N38" s="38">
        <f t="shared" ref="N38:N58" si="7">M38/100000</f>
        <v>0</v>
      </c>
      <c r="O38" s="35"/>
      <c r="P38" s="38">
        <f t="shared" ref="P38:P45" si="8">N38*O38</f>
        <v>0</v>
      </c>
      <c r="Q38" s="34"/>
      <c r="R38" s="214"/>
    </row>
    <row r="39" spans="1:18" s="144" customFormat="1">
      <c r="A39" s="35"/>
      <c r="B39" s="34"/>
      <c r="C39" s="34"/>
      <c r="D39" s="28" t="s">
        <v>26</v>
      </c>
      <c r="E39" s="34"/>
      <c r="F39" s="34"/>
      <c r="G39" s="34"/>
      <c r="H39" s="34"/>
      <c r="I39" s="34"/>
      <c r="J39" s="34"/>
      <c r="K39" s="34"/>
      <c r="L39" s="128" t="s">
        <v>483</v>
      </c>
      <c r="M39" s="35"/>
      <c r="N39" s="38">
        <f t="shared" si="7"/>
        <v>0</v>
      </c>
      <c r="O39" s="35"/>
      <c r="P39" s="38">
        <f t="shared" si="8"/>
        <v>0</v>
      </c>
      <c r="Q39" s="95"/>
      <c r="R39" s="214"/>
    </row>
    <row r="40" spans="1:18" s="144" customFormat="1">
      <c r="A40" s="35"/>
      <c r="B40" s="34"/>
      <c r="C40" s="34"/>
      <c r="D40" s="28" t="s">
        <v>29</v>
      </c>
      <c r="E40" s="34"/>
      <c r="F40" s="34"/>
      <c r="G40" s="34"/>
      <c r="H40" s="34"/>
      <c r="I40" s="34"/>
      <c r="J40" s="34"/>
      <c r="K40" s="34"/>
      <c r="L40" s="128" t="s">
        <v>482</v>
      </c>
      <c r="M40" s="35"/>
      <c r="N40" s="38">
        <f t="shared" si="7"/>
        <v>0</v>
      </c>
      <c r="O40" s="35"/>
      <c r="P40" s="38">
        <f t="shared" si="8"/>
        <v>0</v>
      </c>
      <c r="Q40" s="28"/>
      <c r="R40" s="214"/>
    </row>
    <row r="41" spans="1:18" s="144" customFormat="1" ht="27.75" customHeight="1">
      <c r="A41" s="35"/>
      <c r="B41" s="34"/>
      <c r="C41" s="34"/>
      <c r="D41" s="28" t="s">
        <v>419</v>
      </c>
      <c r="E41" s="34"/>
      <c r="F41" s="34"/>
      <c r="G41" s="34"/>
      <c r="H41" s="34"/>
      <c r="I41" s="34"/>
      <c r="J41" s="34"/>
      <c r="K41" s="34"/>
      <c r="L41" s="128" t="s">
        <v>484</v>
      </c>
      <c r="M41" s="35"/>
      <c r="N41" s="38">
        <f t="shared" si="7"/>
        <v>0</v>
      </c>
      <c r="O41" s="35"/>
      <c r="P41" s="38">
        <f t="shared" si="8"/>
        <v>0</v>
      </c>
      <c r="Q41" s="28"/>
      <c r="R41" s="214"/>
    </row>
    <row r="42" spans="1:18" s="144" customFormat="1" ht="30">
      <c r="A42" s="35"/>
      <c r="B42" s="34"/>
      <c r="C42" s="34"/>
      <c r="D42" s="28" t="s">
        <v>415</v>
      </c>
      <c r="E42" s="34"/>
      <c r="F42" s="34"/>
      <c r="G42" s="34"/>
      <c r="H42" s="34"/>
      <c r="I42" s="34"/>
      <c r="J42" s="34"/>
      <c r="K42" s="34"/>
      <c r="L42" s="128" t="s">
        <v>484</v>
      </c>
      <c r="M42" s="35"/>
      <c r="N42" s="38">
        <f t="shared" si="7"/>
        <v>0</v>
      </c>
      <c r="O42" s="35"/>
      <c r="P42" s="38">
        <f>P43+P44+P45</f>
        <v>0</v>
      </c>
      <c r="Q42" s="28"/>
      <c r="R42" s="214"/>
    </row>
    <row r="43" spans="1:18" s="144" customFormat="1" ht="30">
      <c r="A43" s="35"/>
      <c r="B43" s="34"/>
      <c r="C43" s="34"/>
      <c r="D43" s="16" t="s">
        <v>416</v>
      </c>
      <c r="E43" s="34"/>
      <c r="F43" s="34"/>
      <c r="G43" s="34"/>
      <c r="H43" s="34"/>
      <c r="I43" s="34"/>
      <c r="J43" s="34"/>
      <c r="K43" s="34"/>
      <c r="L43" s="128" t="s">
        <v>484</v>
      </c>
      <c r="M43" s="35"/>
      <c r="N43" s="38">
        <f t="shared" si="7"/>
        <v>0</v>
      </c>
      <c r="O43" s="35"/>
      <c r="P43" s="38">
        <f t="shared" si="8"/>
        <v>0</v>
      </c>
      <c r="Q43" s="28"/>
      <c r="R43" s="214"/>
    </row>
    <row r="44" spans="1:18" s="144" customFormat="1" ht="30">
      <c r="A44" s="35"/>
      <c r="B44" s="34"/>
      <c r="C44" s="34"/>
      <c r="D44" s="16" t="s">
        <v>417</v>
      </c>
      <c r="E44" s="34"/>
      <c r="F44" s="34"/>
      <c r="G44" s="34"/>
      <c r="H44" s="34"/>
      <c r="I44" s="34"/>
      <c r="J44" s="34"/>
      <c r="K44" s="34"/>
      <c r="L44" s="128" t="s">
        <v>484</v>
      </c>
      <c r="M44" s="35"/>
      <c r="N44" s="38">
        <f t="shared" si="7"/>
        <v>0</v>
      </c>
      <c r="O44" s="35"/>
      <c r="P44" s="38">
        <f t="shared" si="8"/>
        <v>0</v>
      </c>
      <c r="Q44" s="28"/>
      <c r="R44" s="214"/>
    </row>
    <row r="45" spans="1:18" s="144" customFormat="1" ht="30">
      <c r="A45" s="35"/>
      <c r="B45" s="34"/>
      <c r="C45" s="34"/>
      <c r="D45" s="16" t="s">
        <v>418</v>
      </c>
      <c r="E45" s="34"/>
      <c r="F45" s="34"/>
      <c r="G45" s="34"/>
      <c r="H45" s="34"/>
      <c r="I45" s="34"/>
      <c r="J45" s="34"/>
      <c r="K45" s="34"/>
      <c r="L45" s="128" t="s">
        <v>484</v>
      </c>
      <c r="M45" s="35"/>
      <c r="N45" s="38">
        <f t="shared" si="7"/>
        <v>0</v>
      </c>
      <c r="O45" s="35"/>
      <c r="P45" s="38">
        <f t="shared" si="8"/>
        <v>0</v>
      </c>
      <c r="Q45" s="28"/>
      <c r="R45" s="214"/>
    </row>
    <row r="46" spans="1:18">
      <c r="A46" s="128"/>
      <c r="B46" s="15"/>
      <c r="C46" s="15"/>
      <c r="D46" s="17" t="s">
        <v>271</v>
      </c>
      <c r="E46" s="26"/>
      <c r="F46" s="26"/>
      <c r="G46" s="26"/>
      <c r="H46" s="26"/>
      <c r="I46" s="26"/>
      <c r="J46" s="26"/>
      <c r="K46" s="26"/>
      <c r="L46" s="17"/>
      <c r="M46" s="17"/>
      <c r="N46" s="17"/>
      <c r="O46" s="17"/>
      <c r="P46" s="63">
        <f>SUM(P37:P42)</f>
        <v>0</v>
      </c>
      <c r="Q46" s="15"/>
      <c r="R46" s="212"/>
    </row>
    <row r="47" spans="1:18" ht="30">
      <c r="A47" s="128"/>
      <c r="B47" s="15"/>
      <c r="C47" s="15"/>
      <c r="D47" s="27" t="s">
        <v>31</v>
      </c>
      <c r="E47" s="15"/>
      <c r="F47" s="15"/>
      <c r="G47" s="15"/>
      <c r="H47" s="15"/>
      <c r="I47" s="15"/>
      <c r="J47" s="15"/>
      <c r="K47" s="15"/>
      <c r="L47" s="128" t="s">
        <v>483</v>
      </c>
      <c r="M47" s="128"/>
      <c r="N47" s="38">
        <f t="shared" si="7"/>
        <v>0</v>
      </c>
      <c r="O47" s="128"/>
      <c r="P47" s="38">
        <f>N47*O47</f>
        <v>0</v>
      </c>
      <c r="Q47" s="15"/>
      <c r="R47" s="212"/>
    </row>
    <row r="48" spans="1:18">
      <c r="A48" s="128"/>
      <c r="B48" s="15"/>
      <c r="C48" s="15"/>
      <c r="D48" s="28" t="s">
        <v>28</v>
      </c>
      <c r="E48" s="15"/>
      <c r="F48" s="15"/>
      <c r="G48" s="15"/>
      <c r="H48" s="15"/>
      <c r="I48" s="15"/>
      <c r="J48" s="15"/>
      <c r="K48" s="15"/>
      <c r="L48" s="128" t="s">
        <v>482</v>
      </c>
      <c r="M48" s="128"/>
      <c r="N48" s="38">
        <f t="shared" si="7"/>
        <v>0</v>
      </c>
      <c r="O48" s="128"/>
      <c r="P48" s="38">
        <f t="shared" ref="P48:P58" si="9">N48*O48</f>
        <v>0</v>
      </c>
      <c r="Q48" s="15"/>
      <c r="R48" s="212"/>
    </row>
    <row r="49" spans="1:18" s="144" customFormat="1">
      <c r="A49" s="35"/>
      <c r="B49" s="34"/>
      <c r="C49" s="34"/>
      <c r="D49" s="28" t="s">
        <v>32</v>
      </c>
      <c r="E49" s="34"/>
      <c r="F49" s="34"/>
      <c r="G49" s="34"/>
      <c r="H49" s="34"/>
      <c r="I49" s="34"/>
      <c r="J49" s="34"/>
      <c r="K49" s="34"/>
      <c r="L49" s="35" t="s">
        <v>482</v>
      </c>
      <c r="M49" s="35"/>
      <c r="N49" s="60">
        <f t="shared" si="7"/>
        <v>0</v>
      </c>
      <c r="O49" s="35"/>
      <c r="P49" s="38">
        <f t="shared" si="9"/>
        <v>0</v>
      </c>
      <c r="Q49" s="28"/>
      <c r="R49" s="214"/>
    </row>
    <row r="50" spans="1:18" s="144" customFormat="1" ht="30">
      <c r="A50" s="35"/>
      <c r="B50" s="34"/>
      <c r="C50" s="34"/>
      <c r="D50" s="28" t="s">
        <v>33</v>
      </c>
      <c r="E50" s="34"/>
      <c r="F50" s="34"/>
      <c r="G50" s="34"/>
      <c r="H50" s="34"/>
      <c r="I50" s="34"/>
      <c r="J50" s="34"/>
      <c r="K50" s="34"/>
      <c r="L50" s="35" t="s">
        <v>484</v>
      </c>
      <c r="M50" s="35"/>
      <c r="N50" s="60">
        <f t="shared" si="7"/>
        <v>0</v>
      </c>
      <c r="O50" s="35"/>
      <c r="P50" s="38">
        <f t="shared" si="9"/>
        <v>0</v>
      </c>
      <c r="Q50" s="28"/>
      <c r="R50" s="214"/>
    </row>
    <row r="51" spans="1:18" s="144" customFormat="1" ht="30">
      <c r="A51" s="35"/>
      <c r="B51" s="34"/>
      <c r="C51" s="34"/>
      <c r="D51" s="226" t="s">
        <v>420</v>
      </c>
      <c r="E51" s="34"/>
      <c r="F51" s="34"/>
      <c r="G51" s="34"/>
      <c r="H51" s="34"/>
      <c r="I51" s="34"/>
      <c r="J51" s="34"/>
      <c r="K51" s="34"/>
      <c r="L51" s="35" t="s">
        <v>484</v>
      </c>
      <c r="M51" s="35"/>
      <c r="N51" s="60">
        <f t="shared" si="7"/>
        <v>0</v>
      </c>
      <c r="O51" s="35"/>
      <c r="P51" s="38">
        <f t="shared" si="9"/>
        <v>0</v>
      </c>
      <c r="Q51" s="28"/>
      <c r="R51" s="214"/>
    </row>
    <row r="52" spans="1:18">
      <c r="A52" s="128"/>
      <c r="B52" s="15"/>
      <c r="C52" s="15"/>
      <c r="D52" s="15" t="s">
        <v>30</v>
      </c>
      <c r="E52" s="15"/>
      <c r="F52" s="15"/>
      <c r="G52" s="15"/>
      <c r="H52" s="15"/>
      <c r="I52" s="15"/>
      <c r="J52" s="15"/>
      <c r="K52" s="15"/>
      <c r="L52" s="35"/>
      <c r="M52" s="128"/>
      <c r="N52" s="38"/>
      <c r="O52" s="128"/>
      <c r="P52" s="140">
        <f>P53+P54+P55</f>
        <v>0</v>
      </c>
      <c r="Q52" s="15"/>
      <c r="R52" s="212"/>
    </row>
    <row r="53" spans="1:18" ht="30">
      <c r="A53" s="128"/>
      <c r="B53" s="15"/>
      <c r="C53" s="15"/>
      <c r="D53" s="16" t="s">
        <v>416</v>
      </c>
      <c r="E53" s="15"/>
      <c r="F53" s="15"/>
      <c r="G53" s="15"/>
      <c r="H53" s="15"/>
      <c r="I53" s="15"/>
      <c r="J53" s="15"/>
      <c r="K53" s="15"/>
      <c r="L53" s="35" t="s">
        <v>484</v>
      </c>
      <c r="M53" s="128"/>
      <c r="N53" s="38">
        <f t="shared" si="7"/>
        <v>0</v>
      </c>
      <c r="O53" s="128"/>
      <c r="P53" s="38">
        <f t="shared" si="9"/>
        <v>0</v>
      </c>
      <c r="Q53" s="15"/>
      <c r="R53" s="212"/>
    </row>
    <row r="54" spans="1:18" ht="30">
      <c r="A54" s="128"/>
      <c r="B54" s="15"/>
      <c r="C54" s="15"/>
      <c r="D54" s="16" t="s">
        <v>417</v>
      </c>
      <c r="E54" s="15"/>
      <c r="F54" s="15"/>
      <c r="G54" s="15"/>
      <c r="H54" s="15"/>
      <c r="I54" s="15"/>
      <c r="J54" s="15"/>
      <c r="K54" s="15"/>
      <c r="L54" s="35" t="s">
        <v>484</v>
      </c>
      <c r="M54" s="128"/>
      <c r="N54" s="38">
        <f t="shared" si="7"/>
        <v>0</v>
      </c>
      <c r="O54" s="128"/>
      <c r="P54" s="38">
        <f t="shared" si="9"/>
        <v>0</v>
      </c>
      <c r="Q54" s="15"/>
      <c r="R54" s="212"/>
    </row>
    <row r="55" spans="1:18" ht="30">
      <c r="A55" s="128"/>
      <c r="B55" s="15"/>
      <c r="C55" s="15"/>
      <c r="D55" s="16" t="s">
        <v>418</v>
      </c>
      <c r="E55" s="15"/>
      <c r="F55" s="15"/>
      <c r="G55" s="15"/>
      <c r="H55" s="15"/>
      <c r="I55" s="15"/>
      <c r="J55" s="15"/>
      <c r="K55" s="15"/>
      <c r="L55" s="35" t="s">
        <v>484</v>
      </c>
      <c r="M55" s="128"/>
      <c r="N55" s="38">
        <f t="shared" si="7"/>
        <v>0</v>
      </c>
      <c r="O55" s="128"/>
      <c r="P55" s="38">
        <f t="shared" si="9"/>
        <v>0</v>
      </c>
      <c r="Q55" s="15"/>
      <c r="R55" s="212"/>
    </row>
    <row r="56" spans="1:18" s="144" customFormat="1" ht="27.75" customHeight="1">
      <c r="A56" s="35"/>
      <c r="B56" s="34"/>
      <c r="C56" s="34"/>
      <c r="D56" s="28" t="s">
        <v>421</v>
      </c>
      <c r="E56" s="34"/>
      <c r="F56" s="34"/>
      <c r="G56" s="34"/>
      <c r="H56" s="34"/>
      <c r="I56" s="34"/>
      <c r="J56" s="34"/>
      <c r="K56" s="34"/>
      <c r="L56" s="35" t="s">
        <v>484</v>
      </c>
      <c r="M56" s="35"/>
      <c r="N56" s="60">
        <f t="shared" si="7"/>
        <v>0</v>
      </c>
      <c r="O56" s="35"/>
      <c r="P56" s="38">
        <f t="shared" si="9"/>
        <v>0</v>
      </c>
      <c r="Q56" s="28"/>
      <c r="R56" s="214"/>
    </row>
    <row r="57" spans="1:18" ht="30">
      <c r="A57" s="128"/>
      <c r="B57" s="15"/>
      <c r="C57" s="15"/>
      <c r="D57" s="15" t="s">
        <v>422</v>
      </c>
      <c r="E57" s="15"/>
      <c r="F57" s="15"/>
      <c r="G57" s="15"/>
      <c r="H57" s="15"/>
      <c r="I57" s="15"/>
      <c r="J57" s="15"/>
      <c r="K57" s="15"/>
      <c r="L57" s="35" t="s">
        <v>484</v>
      </c>
      <c r="M57" s="128"/>
      <c r="N57" s="38">
        <f t="shared" si="7"/>
        <v>0</v>
      </c>
      <c r="O57" s="128"/>
      <c r="P57" s="38">
        <f t="shared" si="9"/>
        <v>0</v>
      </c>
      <c r="Q57" s="15"/>
      <c r="R57" s="212"/>
    </row>
    <row r="58" spans="1:18" ht="30">
      <c r="A58" s="128"/>
      <c r="B58" s="15"/>
      <c r="C58" s="15"/>
      <c r="D58" s="15" t="s">
        <v>423</v>
      </c>
      <c r="E58" s="15"/>
      <c r="F58" s="15"/>
      <c r="G58" s="15"/>
      <c r="H58" s="15"/>
      <c r="I58" s="15"/>
      <c r="J58" s="15"/>
      <c r="K58" s="15"/>
      <c r="L58" s="35" t="s">
        <v>484</v>
      </c>
      <c r="M58" s="128"/>
      <c r="N58" s="38">
        <f t="shared" si="7"/>
        <v>0</v>
      </c>
      <c r="O58" s="128"/>
      <c r="P58" s="38">
        <f t="shared" si="9"/>
        <v>0</v>
      </c>
      <c r="Q58" s="15"/>
      <c r="R58" s="212"/>
    </row>
    <row r="59" spans="1:18">
      <c r="A59" s="128"/>
      <c r="B59" s="15"/>
      <c r="C59" s="15"/>
      <c r="D59" s="17" t="s">
        <v>290</v>
      </c>
      <c r="E59" s="15"/>
      <c r="F59" s="15"/>
      <c r="G59" s="15"/>
      <c r="H59" s="15"/>
      <c r="I59" s="15"/>
      <c r="J59" s="15"/>
      <c r="K59" s="15"/>
      <c r="L59" s="128"/>
      <c r="M59" s="128"/>
      <c r="N59" s="128"/>
      <c r="O59" s="128"/>
      <c r="P59" s="105">
        <f>SUM(P47:P52)+P56+P57+P58</f>
        <v>0</v>
      </c>
      <c r="Q59" s="15"/>
      <c r="R59" s="212"/>
    </row>
    <row r="60" spans="1:18" s="177" customFormat="1" ht="18" customHeight="1">
      <c r="A60" s="132"/>
      <c r="B60" s="131"/>
      <c r="C60" s="131"/>
      <c r="D60" s="156" t="s">
        <v>481</v>
      </c>
      <c r="E60" s="133"/>
      <c r="F60" s="133"/>
      <c r="G60" s="133"/>
      <c r="H60" s="133"/>
      <c r="I60" s="133"/>
      <c r="J60" s="133"/>
      <c r="K60" s="133"/>
      <c r="L60" s="134"/>
      <c r="M60" s="134"/>
      <c r="N60" s="134"/>
      <c r="O60" s="134"/>
      <c r="P60" s="135">
        <f>P70+P83</f>
        <v>17.05</v>
      </c>
      <c r="Q60" s="131"/>
      <c r="R60" s="218"/>
    </row>
    <row r="61" spans="1:18">
      <c r="A61" s="128"/>
      <c r="B61" s="15"/>
      <c r="C61" s="15"/>
      <c r="D61" s="96" t="s">
        <v>24</v>
      </c>
      <c r="E61" s="15"/>
      <c r="F61" s="15"/>
      <c r="G61" s="15"/>
      <c r="H61" s="15"/>
      <c r="I61" s="15"/>
      <c r="J61" s="15"/>
      <c r="K61" s="15"/>
      <c r="L61" s="128" t="s">
        <v>482</v>
      </c>
      <c r="M61" s="128"/>
      <c r="N61" s="128">
        <f>M61/100000</f>
        <v>0</v>
      </c>
      <c r="O61" s="128"/>
      <c r="P61" s="38">
        <f>N61*O61</f>
        <v>0</v>
      </c>
      <c r="Q61" s="15"/>
      <c r="R61" s="212"/>
    </row>
    <row r="62" spans="1:18" s="144" customFormat="1" ht="36.75" customHeight="1">
      <c r="A62" s="35"/>
      <c r="B62" s="34"/>
      <c r="C62" s="34"/>
      <c r="D62" s="28" t="s">
        <v>25</v>
      </c>
      <c r="E62" s="34"/>
      <c r="F62" s="34"/>
      <c r="G62" s="34"/>
      <c r="H62" s="34"/>
      <c r="I62" s="34"/>
      <c r="J62" s="34"/>
      <c r="K62" s="34"/>
      <c r="L62" s="128" t="s">
        <v>482</v>
      </c>
      <c r="M62" s="242">
        <v>50000</v>
      </c>
      <c r="N62" s="35">
        <f t="shared" ref="N62:N69" si="10">M62/100000</f>
        <v>0.5</v>
      </c>
      <c r="O62" s="35">
        <v>1</v>
      </c>
      <c r="P62" s="60">
        <f t="shared" ref="P62:P65" si="11">N62*O62</f>
        <v>0.5</v>
      </c>
      <c r="Q62" s="33" t="s">
        <v>662</v>
      </c>
      <c r="R62" s="214"/>
    </row>
    <row r="63" spans="1:18" s="144" customFormat="1" ht="30">
      <c r="A63" s="35"/>
      <c r="B63" s="34"/>
      <c r="C63" s="34"/>
      <c r="D63" s="28" t="s">
        <v>26</v>
      </c>
      <c r="E63" s="34"/>
      <c r="F63" s="34"/>
      <c r="G63" s="34"/>
      <c r="H63" s="34"/>
      <c r="I63" s="34"/>
      <c r="J63" s="34"/>
      <c r="K63" s="34"/>
      <c r="L63" s="128" t="s">
        <v>483</v>
      </c>
      <c r="M63" s="242">
        <v>100000</v>
      </c>
      <c r="N63" s="35">
        <f t="shared" si="10"/>
        <v>1</v>
      </c>
      <c r="O63" s="35">
        <v>1</v>
      </c>
      <c r="P63" s="60">
        <f t="shared" si="11"/>
        <v>1</v>
      </c>
      <c r="Q63" s="33" t="s">
        <v>662</v>
      </c>
      <c r="R63" s="214"/>
    </row>
    <row r="64" spans="1:18" s="144" customFormat="1" ht="45">
      <c r="A64" s="35"/>
      <c r="B64" s="34"/>
      <c r="C64" s="34"/>
      <c r="D64" s="28" t="s">
        <v>29</v>
      </c>
      <c r="E64" s="34"/>
      <c r="F64" s="34"/>
      <c r="G64" s="34"/>
      <c r="H64" s="34"/>
      <c r="I64" s="34"/>
      <c r="J64" s="34"/>
      <c r="K64" s="34"/>
      <c r="L64" s="128" t="s">
        <v>482</v>
      </c>
      <c r="M64" s="242">
        <v>15000</v>
      </c>
      <c r="N64" s="35">
        <f t="shared" si="10"/>
        <v>0.15</v>
      </c>
      <c r="O64" s="35">
        <v>4</v>
      </c>
      <c r="P64" s="60">
        <f t="shared" si="11"/>
        <v>0.6</v>
      </c>
      <c r="Q64" s="33" t="s">
        <v>663</v>
      </c>
      <c r="R64" s="214"/>
    </row>
    <row r="65" spans="1:18" s="144" customFormat="1" ht="27.75" customHeight="1">
      <c r="A65" s="35"/>
      <c r="B65" s="34"/>
      <c r="C65" s="34"/>
      <c r="D65" s="28" t="s">
        <v>419</v>
      </c>
      <c r="E65" s="34"/>
      <c r="F65" s="34"/>
      <c r="G65" s="34"/>
      <c r="H65" s="34"/>
      <c r="I65" s="34"/>
      <c r="J65" s="34"/>
      <c r="K65" s="34"/>
      <c r="L65" s="128" t="s">
        <v>484</v>
      </c>
      <c r="M65" s="242">
        <v>50000</v>
      </c>
      <c r="N65" s="35">
        <f t="shared" si="10"/>
        <v>0.5</v>
      </c>
      <c r="O65" s="35">
        <v>1</v>
      </c>
      <c r="P65" s="60">
        <f t="shared" si="11"/>
        <v>0.5</v>
      </c>
      <c r="Q65" s="33" t="s">
        <v>664</v>
      </c>
      <c r="R65" s="214"/>
    </row>
    <row r="66" spans="1:18" s="144" customFormat="1">
      <c r="A66" s="35"/>
      <c r="B66" s="34"/>
      <c r="C66" s="34"/>
      <c r="D66" s="28" t="s">
        <v>415</v>
      </c>
      <c r="E66" s="34"/>
      <c r="F66" s="34"/>
      <c r="G66" s="34"/>
      <c r="H66" s="34"/>
      <c r="I66" s="34"/>
      <c r="J66" s="34"/>
      <c r="K66" s="34"/>
      <c r="L66" s="128"/>
      <c r="M66" s="35"/>
      <c r="N66" s="35"/>
      <c r="O66" s="35"/>
      <c r="P66" s="61">
        <f>SUM(P67:P69)</f>
        <v>1</v>
      </c>
      <c r="Q66" s="28"/>
      <c r="R66" s="214"/>
    </row>
    <row r="67" spans="1:18" s="144" customFormat="1" ht="30">
      <c r="A67" s="35"/>
      <c r="B67" s="34"/>
      <c r="C67" s="34"/>
      <c r="D67" s="16" t="s">
        <v>416</v>
      </c>
      <c r="E67" s="34"/>
      <c r="F67" s="34"/>
      <c r="G67" s="34"/>
      <c r="H67" s="34"/>
      <c r="I67" s="34"/>
      <c r="J67" s="34"/>
      <c r="K67" s="34"/>
      <c r="L67" s="128" t="s">
        <v>484</v>
      </c>
      <c r="M67" s="242">
        <v>50000</v>
      </c>
      <c r="N67" s="35">
        <f t="shared" si="10"/>
        <v>0.5</v>
      </c>
      <c r="O67" s="35">
        <v>2</v>
      </c>
      <c r="P67" s="60">
        <f>N67*O67</f>
        <v>1</v>
      </c>
      <c r="Q67" s="33" t="s">
        <v>665</v>
      </c>
      <c r="R67" s="214"/>
    </row>
    <row r="68" spans="1:18" s="144" customFormat="1" ht="30">
      <c r="A68" s="35"/>
      <c r="B68" s="34"/>
      <c r="C68" s="34"/>
      <c r="D68" s="16" t="s">
        <v>417</v>
      </c>
      <c r="E68" s="34"/>
      <c r="F68" s="34"/>
      <c r="G68" s="34"/>
      <c r="H68" s="34"/>
      <c r="I68" s="34"/>
      <c r="J68" s="34"/>
      <c r="K68" s="34"/>
      <c r="L68" s="128" t="s">
        <v>484</v>
      </c>
      <c r="M68" s="35"/>
      <c r="N68" s="35">
        <f t="shared" si="10"/>
        <v>0</v>
      </c>
      <c r="O68" s="35"/>
      <c r="P68" s="60">
        <f>N68*O68</f>
        <v>0</v>
      </c>
      <c r="Q68" s="28"/>
      <c r="R68" s="214"/>
    </row>
    <row r="69" spans="1:18" s="144" customFormat="1" ht="30">
      <c r="A69" s="35"/>
      <c r="B69" s="34"/>
      <c r="C69" s="34"/>
      <c r="D69" s="16" t="s">
        <v>418</v>
      </c>
      <c r="E69" s="34"/>
      <c r="F69" s="34"/>
      <c r="G69" s="34"/>
      <c r="H69" s="34"/>
      <c r="I69" s="34"/>
      <c r="J69" s="34"/>
      <c r="K69" s="34"/>
      <c r="L69" s="128" t="s">
        <v>484</v>
      </c>
      <c r="M69" s="35"/>
      <c r="N69" s="35">
        <f t="shared" si="10"/>
        <v>0</v>
      </c>
      <c r="O69" s="35"/>
      <c r="P69" s="60">
        <f>N69*O69</f>
        <v>0</v>
      </c>
      <c r="Q69" s="28"/>
      <c r="R69" s="214"/>
    </row>
    <row r="70" spans="1:18">
      <c r="A70" s="128"/>
      <c r="B70" s="15"/>
      <c r="C70" s="15"/>
      <c r="D70" s="17" t="s">
        <v>271</v>
      </c>
      <c r="E70" s="26"/>
      <c r="F70" s="26"/>
      <c r="G70" s="26"/>
      <c r="H70" s="26"/>
      <c r="I70" s="26"/>
      <c r="J70" s="26"/>
      <c r="K70" s="26"/>
      <c r="L70" s="17"/>
      <c r="M70" s="17"/>
      <c r="N70" s="17"/>
      <c r="O70" s="17"/>
      <c r="P70" s="63">
        <f>SUM(P61:P66)</f>
        <v>3.6</v>
      </c>
      <c r="Q70" s="15"/>
      <c r="R70" s="212"/>
    </row>
    <row r="71" spans="1:18" ht="30">
      <c r="A71" s="128"/>
      <c r="B71" s="15"/>
      <c r="C71" s="15"/>
      <c r="D71" s="27" t="s">
        <v>31</v>
      </c>
      <c r="E71" s="15"/>
      <c r="F71" s="15"/>
      <c r="G71" s="15"/>
      <c r="H71" s="15"/>
      <c r="I71" s="15"/>
      <c r="J71" s="15"/>
      <c r="K71" s="15"/>
      <c r="L71" s="128" t="s">
        <v>483</v>
      </c>
      <c r="M71" s="242">
        <v>50000</v>
      </c>
      <c r="N71" s="128">
        <f>M71/100000</f>
        <v>0.5</v>
      </c>
      <c r="O71" s="242">
        <v>13</v>
      </c>
      <c r="P71" s="38">
        <f>N71*O71</f>
        <v>6.5</v>
      </c>
      <c r="Q71" s="28" t="s">
        <v>651</v>
      </c>
      <c r="R71" s="212"/>
    </row>
    <row r="72" spans="1:18">
      <c r="A72" s="128"/>
      <c r="B72" s="15"/>
      <c r="C72" s="15"/>
      <c r="D72" s="28" t="s">
        <v>28</v>
      </c>
      <c r="E72" s="15"/>
      <c r="F72" s="15"/>
      <c r="G72" s="15"/>
      <c r="H72" s="15"/>
      <c r="I72" s="15"/>
      <c r="J72" s="15"/>
      <c r="K72" s="15"/>
      <c r="L72" s="128" t="s">
        <v>482</v>
      </c>
      <c r="M72" s="242">
        <v>1600000</v>
      </c>
      <c r="N72" s="128">
        <f>M72/100000</f>
        <v>16</v>
      </c>
      <c r="O72" s="242">
        <v>0</v>
      </c>
      <c r="P72" s="38">
        <f>N72*O72</f>
        <v>0</v>
      </c>
      <c r="Q72" s="28" t="s">
        <v>651</v>
      </c>
      <c r="R72" s="212"/>
    </row>
    <row r="73" spans="1:18" s="144" customFormat="1">
      <c r="A73" s="35"/>
      <c r="B73" s="34"/>
      <c r="C73" s="34"/>
      <c r="D73" s="28" t="s">
        <v>32</v>
      </c>
      <c r="E73" s="34"/>
      <c r="F73" s="34"/>
      <c r="G73" s="34"/>
      <c r="H73" s="34"/>
      <c r="I73" s="34"/>
      <c r="J73" s="34"/>
      <c r="K73" s="34"/>
      <c r="L73" s="35" t="s">
        <v>482</v>
      </c>
      <c r="M73" s="242">
        <v>10000</v>
      </c>
      <c r="N73" s="35">
        <f t="shared" ref="N73" si="12">M73/100000</f>
        <v>0.1</v>
      </c>
      <c r="O73" s="242">
        <v>0</v>
      </c>
      <c r="P73" s="38">
        <f>N73*O73</f>
        <v>0</v>
      </c>
      <c r="Q73" s="28" t="s">
        <v>651</v>
      </c>
      <c r="R73" s="214"/>
    </row>
    <row r="74" spans="1:18" s="144" customFormat="1" ht="30">
      <c r="A74" s="35"/>
      <c r="B74" s="34"/>
      <c r="C74" s="34"/>
      <c r="D74" s="28" t="s">
        <v>33</v>
      </c>
      <c r="E74" s="34"/>
      <c r="F74" s="34"/>
      <c r="G74" s="34"/>
      <c r="H74" s="34"/>
      <c r="I74" s="34"/>
      <c r="J74" s="34"/>
      <c r="K74" s="34"/>
      <c r="L74" s="35" t="s">
        <v>484</v>
      </c>
      <c r="M74" s="242">
        <v>5000</v>
      </c>
      <c r="N74" s="35">
        <f t="shared" ref="N74:N82" si="13">M74/100000</f>
        <v>0.05</v>
      </c>
      <c r="O74" s="242">
        <v>94</v>
      </c>
      <c r="P74" s="38">
        <f t="shared" ref="P74:P82" si="14">N74*O74</f>
        <v>4.7</v>
      </c>
      <c r="Q74" s="33" t="s">
        <v>666</v>
      </c>
      <c r="R74" s="214"/>
    </row>
    <row r="75" spans="1:18" s="144" customFormat="1" ht="30">
      <c r="A75" s="35"/>
      <c r="B75" s="34"/>
      <c r="C75" s="34"/>
      <c r="D75" s="226" t="s">
        <v>420</v>
      </c>
      <c r="E75" s="34"/>
      <c r="F75" s="34"/>
      <c r="G75" s="34"/>
      <c r="H75" s="34"/>
      <c r="I75" s="34"/>
      <c r="J75" s="34"/>
      <c r="K75" s="34"/>
      <c r="L75" s="35" t="s">
        <v>484</v>
      </c>
      <c r="M75" s="35"/>
      <c r="N75" s="35">
        <f t="shared" si="13"/>
        <v>0</v>
      </c>
      <c r="O75" s="35"/>
      <c r="P75" s="38">
        <f t="shared" si="14"/>
        <v>0</v>
      </c>
      <c r="Q75" s="28"/>
      <c r="R75" s="214"/>
    </row>
    <row r="76" spans="1:18">
      <c r="A76" s="128"/>
      <c r="B76" s="15"/>
      <c r="C76" s="15"/>
      <c r="D76" s="15" t="s">
        <v>30</v>
      </c>
      <c r="E76" s="15"/>
      <c r="F76" s="15"/>
      <c r="G76" s="15"/>
      <c r="H76" s="15"/>
      <c r="I76" s="15"/>
      <c r="J76" s="15"/>
      <c r="K76" s="15"/>
      <c r="L76" s="35"/>
      <c r="M76" s="128"/>
      <c r="N76" s="35"/>
      <c r="O76" s="35"/>
      <c r="P76" s="38">
        <f>P77+P78+P79</f>
        <v>0</v>
      </c>
      <c r="Q76" s="15"/>
      <c r="R76" s="212"/>
    </row>
    <row r="77" spans="1:18" ht="30">
      <c r="A77" s="128"/>
      <c r="B77" s="15"/>
      <c r="C77" s="15"/>
      <c r="D77" s="16" t="s">
        <v>416</v>
      </c>
      <c r="E77" s="15"/>
      <c r="F77" s="15"/>
      <c r="G77" s="15"/>
      <c r="H77" s="15"/>
      <c r="I77" s="15"/>
      <c r="J77" s="15"/>
      <c r="K77" s="15"/>
      <c r="L77" s="35" t="s">
        <v>484</v>
      </c>
      <c r="M77" s="128"/>
      <c r="N77" s="35">
        <f t="shared" si="13"/>
        <v>0</v>
      </c>
      <c r="O77" s="35"/>
      <c r="P77" s="38">
        <f t="shared" si="14"/>
        <v>0</v>
      </c>
      <c r="Q77" s="15"/>
      <c r="R77" s="212"/>
    </row>
    <row r="78" spans="1:18" ht="30">
      <c r="A78" s="128"/>
      <c r="B78" s="15"/>
      <c r="C78" s="15"/>
      <c r="D78" s="16" t="s">
        <v>417</v>
      </c>
      <c r="E78" s="15"/>
      <c r="F78" s="15"/>
      <c r="G78" s="15"/>
      <c r="H78" s="15"/>
      <c r="I78" s="15"/>
      <c r="J78" s="15"/>
      <c r="K78" s="15"/>
      <c r="L78" s="35" t="s">
        <v>484</v>
      </c>
      <c r="M78" s="128"/>
      <c r="N78" s="35">
        <f t="shared" si="13"/>
        <v>0</v>
      </c>
      <c r="O78" s="35"/>
      <c r="P78" s="38">
        <f t="shared" si="14"/>
        <v>0</v>
      </c>
      <c r="Q78" s="15"/>
      <c r="R78" s="212"/>
    </row>
    <row r="79" spans="1:18" ht="30">
      <c r="A79" s="128"/>
      <c r="B79" s="15"/>
      <c r="C79" s="15"/>
      <c r="D79" s="16" t="s">
        <v>418</v>
      </c>
      <c r="E79" s="15"/>
      <c r="F79" s="15"/>
      <c r="G79" s="15"/>
      <c r="H79" s="15"/>
      <c r="I79" s="15"/>
      <c r="J79" s="15"/>
      <c r="K79" s="15"/>
      <c r="L79" s="35" t="s">
        <v>484</v>
      </c>
      <c r="M79" s="128"/>
      <c r="N79" s="35">
        <f t="shared" si="13"/>
        <v>0</v>
      </c>
      <c r="O79" s="35"/>
      <c r="P79" s="38">
        <f t="shared" si="14"/>
        <v>0</v>
      </c>
      <c r="Q79" s="15"/>
      <c r="R79" s="212"/>
    </row>
    <row r="80" spans="1:18" s="144" customFormat="1" ht="27.75" customHeight="1">
      <c r="A80" s="35"/>
      <c r="B80" s="34"/>
      <c r="C80" s="34"/>
      <c r="D80" s="28" t="s">
        <v>421</v>
      </c>
      <c r="E80" s="34"/>
      <c r="F80" s="34"/>
      <c r="G80" s="34"/>
      <c r="H80" s="34"/>
      <c r="I80" s="34"/>
      <c r="J80" s="34"/>
      <c r="K80" s="34"/>
      <c r="L80" s="35" t="s">
        <v>484</v>
      </c>
      <c r="M80" s="35">
        <v>5000</v>
      </c>
      <c r="N80" s="35">
        <f t="shared" si="13"/>
        <v>0.05</v>
      </c>
      <c r="O80" s="35">
        <v>45</v>
      </c>
      <c r="P80" s="38">
        <f t="shared" si="14"/>
        <v>2.25</v>
      </c>
      <c r="Q80" s="28" t="s">
        <v>651</v>
      </c>
      <c r="R80" s="214"/>
    </row>
    <row r="81" spans="1:18" ht="30">
      <c r="A81" s="128"/>
      <c r="B81" s="15"/>
      <c r="C81" s="15"/>
      <c r="D81" s="15" t="s">
        <v>422</v>
      </c>
      <c r="E81" s="15"/>
      <c r="F81" s="15"/>
      <c r="G81" s="15"/>
      <c r="H81" s="15"/>
      <c r="I81" s="15"/>
      <c r="J81" s="15"/>
      <c r="K81" s="15"/>
      <c r="L81" s="35" t="s">
        <v>484</v>
      </c>
      <c r="M81" s="128"/>
      <c r="N81" s="35">
        <f t="shared" si="13"/>
        <v>0</v>
      </c>
      <c r="O81" s="35"/>
      <c r="P81" s="38">
        <f t="shared" si="14"/>
        <v>0</v>
      </c>
      <c r="Q81" s="15"/>
      <c r="R81" s="212"/>
    </row>
    <row r="82" spans="1:18" ht="30">
      <c r="A82" s="128"/>
      <c r="B82" s="15"/>
      <c r="C82" s="15"/>
      <c r="D82" s="15" t="s">
        <v>423</v>
      </c>
      <c r="E82" s="15"/>
      <c r="F82" s="15"/>
      <c r="G82" s="15"/>
      <c r="H82" s="15"/>
      <c r="I82" s="15"/>
      <c r="J82" s="15"/>
      <c r="K82" s="15"/>
      <c r="L82" s="35" t="s">
        <v>484</v>
      </c>
      <c r="M82" s="128"/>
      <c r="N82" s="35">
        <f t="shared" si="13"/>
        <v>0</v>
      </c>
      <c r="O82" s="35"/>
      <c r="P82" s="38">
        <f t="shared" si="14"/>
        <v>0</v>
      </c>
      <c r="Q82" s="15"/>
      <c r="R82" s="212"/>
    </row>
    <row r="83" spans="1:18">
      <c r="A83" s="128"/>
      <c r="B83" s="15"/>
      <c r="C83" s="15"/>
      <c r="D83" s="17" t="s">
        <v>290</v>
      </c>
      <c r="E83" s="15"/>
      <c r="F83" s="15"/>
      <c r="G83" s="15"/>
      <c r="H83" s="15"/>
      <c r="I83" s="15"/>
      <c r="J83" s="15"/>
      <c r="K83" s="15"/>
      <c r="L83" s="128"/>
      <c r="M83" s="128"/>
      <c r="N83" s="128"/>
      <c r="O83" s="128"/>
      <c r="P83" s="105">
        <f>SUM(P80:P82)+SUM(P71:P76)</f>
        <v>13.45</v>
      </c>
      <c r="Q83" s="15"/>
      <c r="R83" s="212"/>
    </row>
    <row r="84" spans="1:18" ht="14.45" customHeight="1">
      <c r="A84" s="236">
        <v>6</v>
      </c>
      <c r="B84" s="377" t="s">
        <v>34</v>
      </c>
      <c r="C84" s="377"/>
      <c r="D84" s="377"/>
      <c r="E84" s="377"/>
      <c r="F84" s="377"/>
      <c r="G84" s="377"/>
      <c r="H84" s="377"/>
      <c r="I84" s="377"/>
      <c r="J84" s="377"/>
      <c r="K84" s="377"/>
      <c r="L84" s="377"/>
      <c r="M84" s="377"/>
      <c r="N84" s="377"/>
      <c r="O84" s="377"/>
      <c r="P84" s="64">
        <f>P85+P116+P148+P156+P162+P166+P179+P183</f>
        <v>2836.29</v>
      </c>
      <c r="Q84" s="22"/>
      <c r="R84" s="212" t="s">
        <v>273</v>
      </c>
    </row>
    <row r="85" spans="1:18">
      <c r="A85" s="128"/>
      <c r="B85" s="8" t="s">
        <v>582</v>
      </c>
      <c r="C85" s="8" t="s">
        <v>35</v>
      </c>
      <c r="D85" s="8" t="s">
        <v>36</v>
      </c>
      <c r="E85" s="23" t="s">
        <v>626</v>
      </c>
      <c r="F85" s="23" t="s">
        <v>561</v>
      </c>
      <c r="G85" s="8"/>
      <c r="H85" s="8"/>
      <c r="I85" s="8"/>
      <c r="J85" s="8"/>
      <c r="K85" s="8"/>
      <c r="L85" s="103"/>
      <c r="M85" s="103"/>
      <c r="N85" s="103"/>
      <c r="O85" s="103"/>
      <c r="P85" s="66">
        <f>P98+P115</f>
        <v>0</v>
      </c>
      <c r="Q85" s="8"/>
      <c r="R85" s="212" t="s">
        <v>274</v>
      </c>
    </row>
    <row r="86" spans="1:18" ht="45">
      <c r="A86" s="128"/>
      <c r="B86" s="15"/>
      <c r="C86" s="15"/>
      <c r="D86" s="111" t="s">
        <v>37</v>
      </c>
      <c r="E86" s="112" t="s">
        <v>182</v>
      </c>
      <c r="F86" s="112" t="s">
        <v>583</v>
      </c>
      <c r="G86" s="112"/>
      <c r="H86" s="112"/>
      <c r="I86" s="112"/>
      <c r="J86" s="112"/>
      <c r="K86" s="112"/>
      <c r="L86" s="127"/>
      <c r="M86" s="114" t="s">
        <v>8</v>
      </c>
      <c r="N86" s="114" t="s">
        <v>9</v>
      </c>
      <c r="O86" s="114" t="s">
        <v>10</v>
      </c>
      <c r="P86" s="115" t="s">
        <v>11</v>
      </c>
      <c r="Q86" s="15"/>
      <c r="R86" s="212"/>
    </row>
    <row r="87" spans="1:18" ht="30">
      <c r="A87" s="128"/>
      <c r="B87" s="15"/>
      <c r="C87" s="15"/>
      <c r="D87" s="15" t="s">
        <v>424</v>
      </c>
      <c r="E87" s="15"/>
      <c r="F87" s="15"/>
      <c r="G87" s="15"/>
      <c r="H87" s="15"/>
      <c r="I87" s="15"/>
      <c r="J87" s="15"/>
      <c r="K87" s="15"/>
      <c r="L87" s="128" t="s">
        <v>485</v>
      </c>
      <c r="M87" s="128"/>
      <c r="N87" s="35">
        <f t="shared" ref="N87:N97" si="15">M87/100000</f>
        <v>0</v>
      </c>
      <c r="O87" s="128"/>
      <c r="P87" s="38">
        <f t="shared" ref="P87:P97" si="16">N87*O87</f>
        <v>0</v>
      </c>
      <c r="Q87" s="15"/>
      <c r="R87" s="212"/>
    </row>
    <row r="88" spans="1:18" ht="30">
      <c r="A88" s="128"/>
      <c r="B88" s="15"/>
      <c r="C88" s="15"/>
      <c r="D88" s="15" t="s">
        <v>425</v>
      </c>
      <c r="E88" s="15"/>
      <c r="F88" s="15"/>
      <c r="G88" s="15"/>
      <c r="H88" s="15"/>
      <c r="I88" s="15"/>
      <c r="J88" s="15"/>
      <c r="K88" s="15"/>
      <c r="L88" s="128" t="s">
        <v>485</v>
      </c>
      <c r="M88" s="128"/>
      <c r="N88" s="35">
        <f t="shared" si="15"/>
        <v>0</v>
      </c>
      <c r="O88" s="128"/>
      <c r="P88" s="38">
        <f t="shared" si="16"/>
        <v>0</v>
      </c>
      <c r="Q88" s="15"/>
      <c r="R88" s="212"/>
    </row>
    <row r="89" spans="1:18" ht="45">
      <c r="A89" s="128"/>
      <c r="B89" s="15"/>
      <c r="C89" s="15"/>
      <c r="D89" s="93" t="s">
        <v>426</v>
      </c>
      <c r="E89" s="15"/>
      <c r="F89" s="15"/>
      <c r="G89" s="15"/>
      <c r="H89" s="15"/>
      <c r="I89" s="15"/>
      <c r="J89" s="15"/>
      <c r="K89" s="15"/>
      <c r="L89" s="128" t="s">
        <v>485</v>
      </c>
      <c r="M89" s="128"/>
      <c r="N89" s="35">
        <f t="shared" si="15"/>
        <v>0</v>
      </c>
      <c r="O89" s="128"/>
      <c r="P89" s="38">
        <f t="shared" si="16"/>
        <v>0</v>
      </c>
      <c r="Q89" s="15"/>
      <c r="R89" s="212"/>
    </row>
    <row r="90" spans="1:18" ht="30">
      <c r="A90" s="128"/>
      <c r="B90" s="15"/>
      <c r="C90" s="15"/>
      <c r="D90" s="15" t="s">
        <v>39</v>
      </c>
      <c r="E90" s="15"/>
      <c r="F90" s="15"/>
      <c r="G90" s="15"/>
      <c r="H90" s="15"/>
      <c r="I90" s="15"/>
      <c r="J90" s="15"/>
      <c r="K90" s="15"/>
      <c r="L90" s="128" t="s">
        <v>485</v>
      </c>
      <c r="M90" s="128"/>
      <c r="N90" s="35">
        <f t="shared" si="15"/>
        <v>0</v>
      </c>
      <c r="O90" s="128"/>
      <c r="P90" s="38">
        <f t="shared" si="16"/>
        <v>0</v>
      </c>
      <c r="Q90" s="15"/>
      <c r="R90" s="212"/>
    </row>
    <row r="91" spans="1:18" ht="30">
      <c r="A91" s="128"/>
      <c r="B91" s="15"/>
      <c r="C91" s="15"/>
      <c r="D91" s="15" t="s">
        <v>40</v>
      </c>
      <c r="E91" s="15"/>
      <c r="F91" s="15"/>
      <c r="G91" s="15"/>
      <c r="H91" s="15"/>
      <c r="I91" s="15"/>
      <c r="J91" s="15"/>
      <c r="K91" s="15"/>
      <c r="L91" s="128" t="s">
        <v>485</v>
      </c>
      <c r="M91" s="128"/>
      <c r="N91" s="35">
        <f t="shared" si="15"/>
        <v>0</v>
      </c>
      <c r="O91" s="128"/>
      <c r="P91" s="38">
        <f t="shared" si="16"/>
        <v>0</v>
      </c>
      <c r="Q91" s="15"/>
      <c r="R91" s="212"/>
    </row>
    <row r="92" spans="1:18" ht="30">
      <c r="A92" s="128"/>
      <c r="B92" s="15"/>
      <c r="C92" s="15"/>
      <c r="D92" s="15" t="s">
        <v>41</v>
      </c>
      <c r="E92" s="15"/>
      <c r="F92" s="15"/>
      <c r="G92" s="15"/>
      <c r="H92" s="15"/>
      <c r="I92" s="15"/>
      <c r="J92" s="15"/>
      <c r="K92" s="15"/>
      <c r="L92" s="128" t="s">
        <v>485</v>
      </c>
      <c r="M92" s="128"/>
      <c r="N92" s="35">
        <f t="shared" si="15"/>
        <v>0</v>
      </c>
      <c r="O92" s="128"/>
      <c r="P92" s="38">
        <f t="shared" si="16"/>
        <v>0</v>
      </c>
      <c r="Q92" s="15"/>
      <c r="R92" s="212"/>
    </row>
    <row r="93" spans="1:18" ht="30">
      <c r="A93" s="128"/>
      <c r="B93" s="15"/>
      <c r="C93" s="15"/>
      <c r="D93" s="15" t="s">
        <v>42</v>
      </c>
      <c r="E93" s="15"/>
      <c r="F93" s="15"/>
      <c r="G93" s="15"/>
      <c r="H93" s="15"/>
      <c r="I93" s="15"/>
      <c r="J93" s="15"/>
      <c r="K93" s="15"/>
      <c r="L93" s="128" t="s">
        <v>485</v>
      </c>
      <c r="M93" s="128"/>
      <c r="N93" s="35">
        <f t="shared" si="15"/>
        <v>0</v>
      </c>
      <c r="O93" s="128"/>
      <c r="P93" s="38">
        <f t="shared" si="16"/>
        <v>0</v>
      </c>
      <c r="Q93" s="15"/>
      <c r="R93" s="212"/>
    </row>
    <row r="94" spans="1:18" ht="30">
      <c r="A94" s="128"/>
      <c r="B94" s="15"/>
      <c r="C94" s="15"/>
      <c r="D94" s="15" t="s">
        <v>43</v>
      </c>
      <c r="E94" s="15"/>
      <c r="F94" s="15"/>
      <c r="G94" s="15"/>
      <c r="H94" s="15"/>
      <c r="I94" s="15"/>
      <c r="J94" s="15"/>
      <c r="K94" s="15"/>
      <c r="L94" s="128" t="s">
        <v>485</v>
      </c>
      <c r="M94" s="128"/>
      <c r="N94" s="35">
        <f t="shared" si="15"/>
        <v>0</v>
      </c>
      <c r="O94" s="128"/>
      <c r="P94" s="38">
        <f t="shared" si="16"/>
        <v>0</v>
      </c>
      <c r="Q94" s="15"/>
      <c r="R94" s="212"/>
    </row>
    <row r="95" spans="1:18" ht="30">
      <c r="A95" s="128"/>
      <c r="B95" s="15"/>
      <c r="C95" s="15"/>
      <c r="D95" s="15" t="s">
        <v>44</v>
      </c>
      <c r="E95" s="15"/>
      <c r="F95" s="15"/>
      <c r="G95" s="15"/>
      <c r="H95" s="15"/>
      <c r="I95" s="15"/>
      <c r="J95" s="15"/>
      <c r="K95" s="15"/>
      <c r="L95" s="128" t="s">
        <v>485</v>
      </c>
      <c r="M95" s="128"/>
      <c r="N95" s="35">
        <f t="shared" si="15"/>
        <v>0</v>
      </c>
      <c r="O95" s="128"/>
      <c r="P95" s="38">
        <f t="shared" si="16"/>
        <v>0</v>
      </c>
      <c r="Q95" s="34"/>
      <c r="R95" s="212"/>
    </row>
    <row r="96" spans="1:18" ht="30">
      <c r="A96" s="128"/>
      <c r="B96" s="15"/>
      <c r="C96" s="15"/>
      <c r="D96" s="15" t="s">
        <v>45</v>
      </c>
      <c r="E96" s="15"/>
      <c r="F96" s="15"/>
      <c r="G96" s="15"/>
      <c r="H96" s="15"/>
      <c r="I96" s="15"/>
      <c r="J96" s="15"/>
      <c r="K96" s="15"/>
      <c r="L96" s="128" t="s">
        <v>485</v>
      </c>
      <c r="M96" s="128"/>
      <c r="N96" s="35">
        <f t="shared" si="15"/>
        <v>0</v>
      </c>
      <c r="O96" s="128"/>
      <c r="P96" s="38">
        <f t="shared" si="16"/>
        <v>0</v>
      </c>
      <c r="Q96" s="15"/>
      <c r="R96" s="212"/>
    </row>
    <row r="97" spans="1:18" ht="30">
      <c r="A97" s="128"/>
      <c r="B97" s="15"/>
      <c r="C97" s="15"/>
      <c r="D97" s="93" t="s">
        <v>46</v>
      </c>
      <c r="E97" s="15"/>
      <c r="F97" s="15"/>
      <c r="G97" s="15"/>
      <c r="H97" s="15"/>
      <c r="I97" s="15"/>
      <c r="J97" s="15"/>
      <c r="K97" s="15"/>
      <c r="L97" s="128" t="s">
        <v>485</v>
      </c>
      <c r="M97" s="128"/>
      <c r="N97" s="35">
        <f t="shared" si="15"/>
        <v>0</v>
      </c>
      <c r="O97" s="128"/>
      <c r="P97" s="38">
        <f t="shared" si="16"/>
        <v>0</v>
      </c>
      <c r="Q97" s="15"/>
      <c r="R97" s="212"/>
    </row>
    <row r="98" spans="1:18">
      <c r="A98" s="128"/>
      <c r="B98" s="15"/>
      <c r="C98" s="15"/>
      <c r="D98" s="26" t="s">
        <v>47</v>
      </c>
      <c r="E98" s="15"/>
      <c r="F98" s="15"/>
      <c r="G98" s="15"/>
      <c r="H98" s="15"/>
      <c r="I98" s="15"/>
      <c r="J98" s="15"/>
      <c r="K98" s="15"/>
      <c r="L98" s="128"/>
      <c r="M98" s="128"/>
      <c r="N98" s="128"/>
      <c r="O98" s="128"/>
      <c r="P98" s="63">
        <f>SUM(P87:P97)</f>
        <v>0</v>
      </c>
      <c r="Q98" s="15"/>
      <c r="R98" s="212"/>
    </row>
    <row r="99" spans="1:18">
      <c r="A99" s="128"/>
      <c r="B99" s="15"/>
      <c r="C99" s="15"/>
      <c r="D99" s="111" t="s">
        <v>48</v>
      </c>
      <c r="E99" s="112"/>
      <c r="F99" s="112"/>
      <c r="G99" s="112"/>
      <c r="H99" s="112"/>
      <c r="I99" s="112"/>
      <c r="J99" s="112"/>
      <c r="K99" s="112"/>
      <c r="L99" s="127"/>
      <c r="M99" s="127"/>
      <c r="N99" s="127"/>
      <c r="O99" s="127"/>
      <c r="P99" s="113"/>
      <c r="Q99" s="15"/>
      <c r="R99" s="212"/>
    </row>
    <row r="100" spans="1:18" s="144" customFormat="1" ht="30">
      <c r="A100" s="35"/>
      <c r="B100" s="34"/>
      <c r="C100" s="34"/>
      <c r="D100" s="34" t="s">
        <v>38</v>
      </c>
      <c r="E100" s="34"/>
      <c r="F100" s="34"/>
      <c r="G100" s="34"/>
      <c r="H100" s="34"/>
      <c r="I100" s="34"/>
      <c r="J100" s="34"/>
      <c r="K100" s="34"/>
      <c r="L100" s="128" t="s">
        <v>485</v>
      </c>
      <c r="M100" s="128"/>
      <c r="N100" s="128">
        <f t="shared" ref="N100:N106" si="17">M100/100000</f>
        <v>0</v>
      </c>
      <c r="O100" s="128"/>
      <c r="P100" s="38">
        <f t="shared" ref="P100:P106" si="18">O100*N100</f>
        <v>0</v>
      </c>
      <c r="Q100" s="34"/>
      <c r="R100" s="214"/>
    </row>
    <row r="101" spans="1:18" ht="30">
      <c r="A101" s="128"/>
      <c r="B101" s="15"/>
      <c r="C101" s="15"/>
      <c r="D101" s="15" t="s">
        <v>427</v>
      </c>
      <c r="E101" s="15"/>
      <c r="F101" s="15"/>
      <c r="G101" s="15"/>
      <c r="H101" s="15"/>
      <c r="I101" s="15"/>
      <c r="J101" s="15"/>
      <c r="K101" s="15"/>
      <c r="L101" s="128" t="s">
        <v>485</v>
      </c>
      <c r="M101" s="128"/>
      <c r="N101" s="128">
        <f t="shared" si="17"/>
        <v>0</v>
      </c>
      <c r="O101" s="128"/>
      <c r="P101" s="38">
        <f t="shared" si="18"/>
        <v>0</v>
      </c>
      <c r="Q101" s="15"/>
      <c r="R101" s="212"/>
    </row>
    <row r="102" spans="1:18" ht="30">
      <c r="A102" s="128"/>
      <c r="B102" s="15"/>
      <c r="C102" s="15"/>
      <c r="D102" s="15" t="s">
        <v>187</v>
      </c>
      <c r="E102" s="15"/>
      <c r="F102" s="15"/>
      <c r="G102" s="15"/>
      <c r="H102" s="15"/>
      <c r="I102" s="15"/>
      <c r="J102" s="15"/>
      <c r="K102" s="15"/>
      <c r="L102" s="128" t="s">
        <v>485</v>
      </c>
      <c r="M102" s="128"/>
      <c r="N102" s="128">
        <f t="shared" si="17"/>
        <v>0</v>
      </c>
      <c r="O102" s="128"/>
      <c r="P102" s="38">
        <f t="shared" si="18"/>
        <v>0</v>
      </c>
      <c r="Q102" s="15"/>
      <c r="R102" s="212"/>
    </row>
    <row r="103" spans="1:18" ht="30">
      <c r="A103" s="128"/>
      <c r="B103" s="15"/>
      <c r="C103" s="15"/>
      <c r="D103" s="15" t="s">
        <v>188</v>
      </c>
      <c r="E103" s="15"/>
      <c r="F103" s="15"/>
      <c r="G103" s="15"/>
      <c r="H103" s="15"/>
      <c r="I103" s="15"/>
      <c r="J103" s="15"/>
      <c r="K103" s="15"/>
      <c r="L103" s="128" t="s">
        <v>485</v>
      </c>
      <c r="M103" s="128"/>
      <c r="N103" s="128">
        <f t="shared" si="17"/>
        <v>0</v>
      </c>
      <c r="O103" s="128"/>
      <c r="P103" s="38">
        <f t="shared" si="18"/>
        <v>0</v>
      </c>
      <c r="Q103" s="15"/>
      <c r="R103" s="212"/>
    </row>
    <row r="104" spans="1:18" ht="30">
      <c r="A104" s="128"/>
      <c r="B104" s="15"/>
      <c r="C104" s="15"/>
      <c r="D104" s="15" t="s">
        <v>39</v>
      </c>
      <c r="E104" s="15"/>
      <c r="F104" s="15"/>
      <c r="G104" s="15"/>
      <c r="H104" s="15"/>
      <c r="I104" s="15"/>
      <c r="J104" s="15"/>
      <c r="K104" s="15"/>
      <c r="L104" s="128" t="s">
        <v>485</v>
      </c>
      <c r="M104" s="128"/>
      <c r="N104" s="128">
        <f t="shared" si="17"/>
        <v>0</v>
      </c>
      <c r="O104" s="128"/>
      <c r="P104" s="38">
        <f t="shared" si="18"/>
        <v>0</v>
      </c>
      <c r="Q104" s="15"/>
      <c r="R104" s="212"/>
    </row>
    <row r="105" spans="1:18" ht="30">
      <c r="A105" s="128"/>
      <c r="B105" s="15"/>
      <c r="C105" s="15"/>
      <c r="D105" s="15" t="s">
        <v>40</v>
      </c>
      <c r="E105" s="15"/>
      <c r="F105" s="15"/>
      <c r="G105" s="15"/>
      <c r="H105" s="15"/>
      <c r="I105" s="15"/>
      <c r="J105" s="15"/>
      <c r="K105" s="15"/>
      <c r="L105" s="128" t="s">
        <v>485</v>
      </c>
      <c r="M105" s="128"/>
      <c r="N105" s="128">
        <f t="shared" si="17"/>
        <v>0</v>
      </c>
      <c r="O105" s="128"/>
      <c r="P105" s="38">
        <f t="shared" si="18"/>
        <v>0</v>
      </c>
      <c r="Q105" s="15"/>
      <c r="R105" s="212"/>
    </row>
    <row r="106" spans="1:18" ht="30">
      <c r="A106" s="128"/>
      <c r="B106" s="15"/>
      <c r="C106" s="15"/>
      <c r="D106" s="15" t="s">
        <v>41</v>
      </c>
      <c r="E106" s="15"/>
      <c r="F106" s="15"/>
      <c r="G106" s="15"/>
      <c r="H106" s="15"/>
      <c r="I106" s="15"/>
      <c r="J106" s="15"/>
      <c r="K106" s="15"/>
      <c r="L106" s="128" t="s">
        <v>485</v>
      </c>
      <c r="M106" s="128"/>
      <c r="N106" s="128">
        <f t="shared" si="17"/>
        <v>0</v>
      </c>
      <c r="O106" s="128"/>
      <c r="P106" s="38">
        <f t="shared" si="18"/>
        <v>0</v>
      </c>
      <c r="Q106" s="34"/>
      <c r="R106" s="212"/>
    </row>
    <row r="107" spans="1:18" ht="30">
      <c r="A107" s="128"/>
      <c r="B107" s="15"/>
      <c r="C107" s="15"/>
      <c r="D107" s="15" t="s">
        <v>42</v>
      </c>
      <c r="E107" s="15"/>
      <c r="F107" s="15"/>
      <c r="G107" s="15"/>
      <c r="H107" s="15"/>
      <c r="I107" s="15"/>
      <c r="J107" s="15"/>
      <c r="K107" s="15"/>
      <c r="L107" s="128" t="s">
        <v>485</v>
      </c>
      <c r="M107" s="128"/>
      <c r="N107" s="128">
        <f>M107/100000</f>
        <v>0</v>
      </c>
      <c r="O107" s="128"/>
      <c r="P107" s="38">
        <f>O107*N107</f>
        <v>0</v>
      </c>
      <c r="Q107" s="15"/>
      <c r="R107" s="212"/>
    </row>
    <row r="108" spans="1:18" ht="27" customHeight="1">
      <c r="A108" s="128"/>
      <c r="B108" s="15"/>
      <c r="C108" s="15"/>
      <c r="D108" s="15" t="s">
        <v>43</v>
      </c>
      <c r="E108" s="15"/>
      <c r="F108" s="15"/>
      <c r="G108" s="15"/>
      <c r="H108" s="15"/>
      <c r="I108" s="15"/>
      <c r="J108" s="15"/>
      <c r="K108" s="15"/>
      <c r="L108" s="128" t="s">
        <v>485</v>
      </c>
      <c r="M108" s="128"/>
      <c r="N108" s="128">
        <f t="shared" ref="N108:N114" si="19">M108/100000</f>
        <v>0</v>
      </c>
      <c r="O108" s="128"/>
      <c r="P108" s="38">
        <f t="shared" ref="P108:P110" si="20">O108*N108</f>
        <v>0</v>
      </c>
      <c r="Q108" s="27"/>
      <c r="R108" s="212"/>
    </row>
    <row r="109" spans="1:18" ht="30">
      <c r="A109" s="128"/>
      <c r="B109" s="15"/>
      <c r="C109" s="15"/>
      <c r="D109" s="93" t="s">
        <v>44</v>
      </c>
      <c r="E109" s="15"/>
      <c r="F109" s="15"/>
      <c r="G109" s="15"/>
      <c r="H109" s="15"/>
      <c r="I109" s="15"/>
      <c r="J109" s="15"/>
      <c r="K109" s="15"/>
      <c r="L109" s="128" t="s">
        <v>485</v>
      </c>
      <c r="M109" s="128"/>
      <c r="N109" s="128">
        <f t="shared" si="19"/>
        <v>0</v>
      </c>
      <c r="O109" s="128"/>
      <c r="P109" s="38">
        <f t="shared" si="20"/>
        <v>0</v>
      </c>
      <c r="Q109" s="15"/>
      <c r="R109" s="212"/>
    </row>
    <row r="110" spans="1:18" ht="30">
      <c r="A110" s="128"/>
      <c r="B110" s="15"/>
      <c r="C110" s="15"/>
      <c r="D110" s="15" t="s">
        <v>428</v>
      </c>
      <c r="E110" s="15"/>
      <c r="F110" s="15"/>
      <c r="G110" s="15"/>
      <c r="H110" s="15"/>
      <c r="I110" s="15"/>
      <c r="J110" s="15"/>
      <c r="K110" s="15"/>
      <c r="L110" s="128" t="s">
        <v>485</v>
      </c>
      <c r="M110" s="128"/>
      <c r="N110" s="128">
        <f t="shared" si="19"/>
        <v>0</v>
      </c>
      <c r="O110" s="128"/>
      <c r="P110" s="38">
        <f t="shared" si="20"/>
        <v>0</v>
      </c>
      <c r="Q110" s="15"/>
      <c r="R110" s="212"/>
    </row>
    <row r="111" spans="1:18" ht="30">
      <c r="A111" s="128"/>
      <c r="B111" s="15"/>
      <c r="C111" s="15"/>
      <c r="D111" s="15" t="s">
        <v>49</v>
      </c>
      <c r="E111" s="15"/>
      <c r="F111" s="15"/>
      <c r="G111" s="15"/>
      <c r="H111" s="15"/>
      <c r="I111" s="15"/>
      <c r="J111" s="15"/>
      <c r="K111" s="15"/>
      <c r="L111" s="128" t="s">
        <v>485</v>
      </c>
      <c r="M111" s="128"/>
      <c r="N111" s="128">
        <f t="shared" si="19"/>
        <v>0</v>
      </c>
      <c r="O111" s="128"/>
      <c r="P111" s="38">
        <f t="shared" ref="P111:P114" si="21">O111*N111</f>
        <v>0</v>
      </c>
      <c r="Q111" s="15"/>
      <c r="R111" s="212">
        <v>34</v>
      </c>
    </row>
    <row r="112" spans="1:18" ht="30">
      <c r="A112" s="128"/>
      <c r="B112" s="15"/>
      <c r="C112" s="15"/>
      <c r="D112" s="15" t="s">
        <v>45</v>
      </c>
      <c r="E112" s="15"/>
      <c r="F112" s="15"/>
      <c r="G112" s="15"/>
      <c r="H112" s="15"/>
      <c r="I112" s="15"/>
      <c r="J112" s="15"/>
      <c r="K112" s="15"/>
      <c r="L112" s="128" t="s">
        <v>485</v>
      </c>
      <c r="M112" s="128"/>
      <c r="N112" s="128">
        <f t="shared" si="19"/>
        <v>0</v>
      </c>
      <c r="O112" s="128"/>
      <c r="P112" s="38">
        <f t="shared" si="21"/>
        <v>0</v>
      </c>
      <c r="Q112" s="27"/>
      <c r="R112" s="212"/>
    </row>
    <row r="113" spans="1:18" s="144" customFormat="1" ht="30">
      <c r="A113" s="35"/>
      <c r="B113" s="34"/>
      <c r="C113" s="34"/>
      <c r="D113" s="34" t="s">
        <v>310</v>
      </c>
      <c r="E113" s="34"/>
      <c r="F113" s="34"/>
      <c r="G113" s="34"/>
      <c r="H113" s="34"/>
      <c r="I113" s="34"/>
      <c r="J113" s="34"/>
      <c r="K113" s="34"/>
      <c r="L113" s="128" t="s">
        <v>485</v>
      </c>
      <c r="M113" s="128"/>
      <c r="N113" s="128">
        <f t="shared" si="19"/>
        <v>0</v>
      </c>
      <c r="O113" s="128"/>
      <c r="P113" s="38">
        <f t="shared" si="21"/>
        <v>0</v>
      </c>
      <c r="Q113" s="34"/>
      <c r="R113" s="214"/>
    </row>
    <row r="114" spans="1:18" ht="30">
      <c r="A114" s="128"/>
      <c r="B114" s="15"/>
      <c r="C114" s="15"/>
      <c r="D114" s="15" t="s">
        <v>50</v>
      </c>
      <c r="E114" s="15"/>
      <c r="F114" s="15"/>
      <c r="G114" s="15"/>
      <c r="H114" s="15"/>
      <c r="I114" s="15"/>
      <c r="J114" s="15"/>
      <c r="K114" s="15"/>
      <c r="L114" s="128" t="s">
        <v>485</v>
      </c>
      <c r="M114" s="128"/>
      <c r="N114" s="128">
        <f t="shared" si="19"/>
        <v>0</v>
      </c>
      <c r="O114" s="128"/>
      <c r="P114" s="38">
        <f t="shared" si="21"/>
        <v>0</v>
      </c>
      <c r="Q114" s="15"/>
      <c r="R114" s="212"/>
    </row>
    <row r="115" spans="1:18">
      <c r="A115" s="128"/>
      <c r="B115" s="15"/>
      <c r="C115" s="15"/>
      <c r="D115" s="26" t="s">
        <v>64</v>
      </c>
      <c r="E115" s="15"/>
      <c r="F115" s="15"/>
      <c r="G115" s="15"/>
      <c r="H115" s="15"/>
      <c r="I115" s="15"/>
      <c r="J115" s="15"/>
      <c r="K115" s="15"/>
      <c r="L115" s="128"/>
      <c r="M115" s="128"/>
      <c r="N115" s="128"/>
      <c r="O115" s="128"/>
      <c r="P115" s="63">
        <f>SUM(P100:P114)</f>
        <v>0</v>
      </c>
      <c r="Q115" s="15"/>
      <c r="R115" s="212"/>
    </row>
    <row r="116" spans="1:18">
      <c r="A116" s="128"/>
      <c r="B116" s="8" t="s">
        <v>584</v>
      </c>
      <c r="C116" s="8" t="s">
        <v>14</v>
      </c>
      <c r="D116" s="8" t="s">
        <v>51</v>
      </c>
      <c r="E116" s="23" t="s">
        <v>626</v>
      </c>
      <c r="F116" s="23" t="s">
        <v>561</v>
      </c>
      <c r="G116" s="8"/>
      <c r="H116" s="8"/>
      <c r="I116" s="8"/>
      <c r="J116" s="8"/>
      <c r="K116" s="8"/>
      <c r="L116" s="103"/>
      <c r="M116" s="103"/>
      <c r="N116" s="103"/>
      <c r="O116" s="103"/>
      <c r="P116" s="67">
        <f>P134+P147</f>
        <v>25.189999999999998</v>
      </c>
      <c r="Q116" s="8"/>
      <c r="R116" s="212"/>
    </row>
    <row r="117" spans="1:18" ht="45">
      <c r="A117" s="128"/>
      <c r="B117" s="15"/>
      <c r="C117" s="15"/>
      <c r="D117" s="111" t="s">
        <v>37</v>
      </c>
      <c r="E117" s="114" t="s">
        <v>182</v>
      </c>
      <c r="F117" s="114"/>
      <c r="G117" s="114"/>
      <c r="H117" s="114"/>
      <c r="I117" s="114"/>
      <c r="J117" s="114"/>
      <c r="K117" s="114"/>
      <c r="L117" s="114"/>
      <c r="M117" s="114" t="s">
        <v>8</v>
      </c>
      <c r="N117" s="114" t="s">
        <v>9</v>
      </c>
      <c r="O117" s="114" t="s">
        <v>10</v>
      </c>
      <c r="P117" s="115" t="s">
        <v>11</v>
      </c>
      <c r="Q117" s="15"/>
      <c r="R117" s="212"/>
    </row>
    <row r="118" spans="1:18" ht="30">
      <c r="A118" s="128"/>
      <c r="B118" s="15"/>
      <c r="C118" s="15"/>
      <c r="D118" s="15" t="s">
        <v>38</v>
      </c>
      <c r="E118" s="15"/>
      <c r="F118" s="15"/>
      <c r="G118" s="15"/>
      <c r="H118" s="15"/>
      <c r="I118" s="15"/>
      <c r="J118" s="15"/>
      <c r="K118" s="15"/>
      <c r="L118" s="128" t="s">
        <v>485</v>
      </c>
      <c r="M118" s="128"/>
      <c r="N118" s="128">
        <f t="shared" ref="N118:N133" si="22">M118/100000</f>
        <v>0</v>
      </c>
      <c r="O118" s="128"/>
      <c r="P118" s="38">
        <f t="shared" ref="P118:P133" si="23">O118*N118</f>
        <v>0</v>
      </c>
      <c r="Q118" s="15"/>
      <c r="R118" s="212"/>
    </row>
    <row r="119" spans="1:18" ht="30">
      <c r="A119" s="128"/>
      <c r="B119" s="15"/>
      <c r="C119" s="15"/>
      <c r="D119" s="15" t="s">
        <v>52</v>
      </c>
      <c r="E119" s="15"/>
      <c r="F119" s="15"/>
      <c r="G119" s="15"/>
      <c r="H119" s="15"/>
      <c r="I119" s="15"/>
      <c r="J119" s="15"/>
      <c r="K119" s="15"/>
      <c r="L119" s="128" t="s">
        <v>485</v>
      </c>
      <c r="M119" s="128"/>
      <c r="N119" s="128">
        <f t="shared" si="22"/>
        <v>0</v>
      </c>
      <c r="O119" s="128"/>
      <c r="P119" s="38">
        <f t="shared" si="23"/>
        <v>0</v>
      </c>
      <c r="Q119" s="15"/>
      <c r="R119" s="212"/>
    </row>
    <row r="120" spans="1:18" ht="30">
      <c r="A120" s="128"/>
      <c r="B120" s="15"/>
      <c r="C120" s="15"/>
      <c r="D120" s="15" t="s">
        <v>53</v>
      </c>
      <c r="E120" s="15"/>
      <c r="F120" s="15"/>
      <c r="G120" s="15"/>
      <c r="H120" s="15"/>
      <c r="I120" s="15"/>
      <c r="J120" s="15"/>
      <c r="K120" s="15"/>
      <c r="L120" s="128" t="s">
        <v>485</v>
      </c>
      <c r="M120" s="128"/>
      <c r="N120" s="128">
        <f t="shared" si="22"/>
        <v>0</v>
      </c>
      <c r="O120" s="128"/>
      <c r="P120" s="38">
        <f t="shared" si="23"/>
        <v>0</v>
      </c>
      <c r="Q120" s="15"/>
      <c r="R120" s="212"/>
    </row>
    <row r="121" spans="1:18" ht="30">
      <c r="A121" s="128"/>
      <c r="B121" s="15"/>
      <c r="C121" s="15"/>
      <c r="D121" s="15" t="s">
        <v>189</v>
      </c>
      <c r="E121" s="15"/>
      <c r="F121" s="15"/>
      <c r="G121" s="15"/>
      <c r="H121" s="15"/>
      <c r="I121" s="15"/>
      <c r="J121" s="15"/>
      <c r="K121" s="15"/>
      <c r="L121" s="128" t="s">
        <v>485</v>
      </c>
      <c r="M121" s="128"/>
      <c r="N121" s="128">
        <f t="shared" si="22"/>
        <v>0</v>
      </c>
      <c r="O121" s="128"/>
      <c r="P121" s="38">
        <f t="shared" si="23"/>
        <v>0</v>
      </c>
      <c r="Q121" s="15"/>
      <c r="R121" s="212"/>
    </row>
    <row r="122" spans="1:18" ht="30">
      <c r="A122" s="128"/>
      <c r="B122" s="15"/>
      <c r="C122" s="15"/>
      <c r="D122" s="15" t="s">
        <v>429</v>
      </c>
      <c r="E122" s="15"/>
      <c r="F122" s="15"/>
      <c r="G122" s="15"/>
      <c r="H122" s="15"/>
      <c r="I122" s="15"/>
      <c r="J122" s="15"/>
      <c r="K122" s="15"/>
      <c r="L122" s="128" t="s">
        <v>485</v>
      </c>
      <c r="M122" s="25">
        <v>646000</v>
      </c>
      <c r="N122" s="128">
        <f t="shared" si="22"/>
        <v>6.46</v>
      </c>
      <c r="O122" s="10">
        <v>1</v>
      </c>
      <c r="P122" s="38">
        <f t="shared" si="23"/>
        <v>6.46</v>
      </c>
      <c r="Q122" s="33" t="s">
        <v>667</v>
      </c>
      <c r="R122" s="212"/>
    </row>
    <row r="123" spans="1:18" ht="30">
      <c r="A123" s="128"/>
      <c r="B123" s="15"/>
      <c r="C123" s="15"/>
      <c r="D123" s="15" t="s">
        <v>54</v>
      </c>
      <c r="E123" s="15"/>
      <c r="F123" s="15"/>
      <c r="G123" s="15"/>
      <c r="H123" s="15"/>
      <c r="I123" s="15"/>
      <c r="J123" s="15"/>
      <c r="K123" s="15"/>
      <c r="L123" s="128" t="s">
        <v>485</v>
      </c>
      <c r="M123" s="25">
        <v>646000</v>
      </c>
      <c r="N123" s="128">
        <f t="shared" si="22"/>
        <v>6.46</v>
      </c>
      <c r="O123" s="10">
        <v>1</v>
      </c>
      <c r="P123" s="38">
        <f t="shared" si="23"/>
        <v>6.46</v>
      </c>
      <c r="Q123" s="33" t="s">
        <v>667</v>
      </c>
      <c r="R123" s="212"/>
    </row>
    <row r="124" spans="1:18" ht="30">
      <c r="A124" s="128"/>
      <c r="B124" s="15"/>
      <c r="C124" s="15"/>
      <c r="D124" s="15" t="s">
        <v>187</v>
      </c>
      <c r="E124" s="15"/>
      <c r="F124" s="15"/>
      <c r="G124" s="15"/>
      <c r="H124" s="15"/>
      <c r="I124" s="15"/>
      <c r="J124" s="15"/>
      <c r="K124" s="15"/>
      <c r="L124" s="128" t="s">
        <v>485</v>
      </c>
      <c r="M124" s="25"/>
      <c r="N124" s="128">
        <f t="shared" si="22"/>
        <v>0</v>
      </c>
      <c r="O124" s="242"/>
      <c r="P124" s="38">
        <f t="shared" si="23"/>
        <v>0</v>
      </c>
      <c r="Q124" s="33"/>
      <c r="R124" s="212"/>
    </row>
    <row r="125" spans="1:18" ht="45">
      <c r="A125" s="128"/>
      <c r="B125" s="15"/>
      <c r="C125" s="15"/>
      <c r="D125" s="93" t="s">
        <v>426</v>
      </c>
      <c r="E125" s="15"/>
      <c r="F125" s="15"/>
      <c r="G125" s="15"/>
      <c r="H125" s="15"/>
      <c r="I125" s="15"/>
      <c r="J125" s="15"/>
      <c r="K125" s="15"/>
      <c r="L125" s="128" t="s">
        <v>485</v>
      </c>
      <c r="M125" s="267">
        <v>6000</v>
      </c>
      <c r="N125" s="128">
        <f t="shared" si="22"/>
        <v>0.06</v>
      </c>
      <c r="O125" s="10">
        <v>54</v>
      </c>
      <c r="P125" s="38">
        <f t="shared" si="23"/>
        <v>3.2399999999999998</v>
      </c>
      <c r="Q125" s="33" t="s">
        <v>651</v>
      </c>
      <c r="R125" s="212"/>
    </row>
    <row r="126" spans="1:18" ht="30">
      <c r="A126" s="128"/>
      <c r="B126" s="15"/>
      <c r="C126" s="15"/>
      <c r="D126" s="15" t="s">
        <v>56</v>
      </c>
      <c r="E126" s="15"/>
      <c r="F126" s="15"/>
      <c r="G126" s="15"/>
      <c r="H126" s="15"/>
      <c r="I126" s="15"/>
      <c r="J126" s="15"/>
      <c r="K126" s="15"/>
      <c r="L126" s="128" t="s">
        <v>485</v>
      </c>
      <c r="M126" s="25">
        <v>15000</v>
      </c>
      <c r="N126" s="128">
        <f t="shared" si="22"/>
        <v>0.15</v>
      </c>
      <c r="O126" s="242">
        <v>1</v>
      </c>
      <c r="P126" s="38">
        <f t="shared" si="23"/>
        <v>0.15</v>
      </c>
      <c r="Q126" s="33" t="s">
        <v>651</v>
      </c>
      <c r="R126" s="212"/>
    </row>
    <row r="127" spans="1:18" ht="30">
      <c r="A127" s="128"/>
      <c r="B127" s="15"/>
      <c r="C127" s="15"/>
      <c r="D127" s="15" t="s">
        <v>43</v>
      </c>
      <c r="E127" s="15"/>
      <c r="F127" s="15"/>
      <c r="G127" s="15"/>
      <c r="H127" s="15"/>
      <c r="I127" s="15"/>
      <c r="J127" s="15"/>
      <c r="K127" s="15"/>
      <c r="L127" s="128" t="s">
        <v>485</v>
      </c>
      <c r="M127" s="25"/>
      <c r="N127" s="128">
        <f t="shared" si="22"/>
        <v>0</v>
      </c>
      <c r="O127" s="242"/>
      <c r="P127" s="38">
        <f t="shared" si="23"/>
        <v>0</v>
      </c>
      <c r="Q127" s="33"/>
      <c r="R127" s="212"/>
    </row>
    <row r="128" spans="1:18" ht="30">
      <c r="A128" s="128"/>
      <c r="B128" s="15"/>
      <c r="C128" s="15"/>
      <c r="D128" s="15" t="s">
        <v>57</v>
      </c>
      <c r="E128" s="15"/>
      <c r="F128" s="15"/>
      <c r="G128" s="15"/>
      <c r="H128" s="15"/>
      <c r="I128" s="15"/>
      <c r="J128" s="15"/>
      <c r="K128" s="15"/>
      <c r="L128" s="128" t="s">
        <v>485</v>
      </c>
      <c r="M128" s="25"/>
      <c r="N128" s="128">
        <f t="shared" si="22"/>
        <v>0</v>
      </c>
      <c r="O128" s="242"/>
      <c r="P128" s="38">
        <f t="shared" si="23"/>
        <v>0</v>
      </c>
      <c r="Q128" s="33"/>
      <c r="R128" s="212"/>
    </row>
    <row r="129" spans="1:18" ht="30">
      <c r="A129" s="128"/>
      <c r="B129" s="15"/>
      <c r="C129" s="15"/>
      <c r="D129" s="15" t="s">
        <v>58</v>
      </c>
      <c r="E129" s="15"/>
      <c r="F129" s="15"/>
      <c r="G129" s="15"/>
      <c r="H129" s="15"/>
      <c r="I129" s="15"/>
      <c r="J129" s="15"/>
      <c r="K129" s="15"/>
      <c r="L129" s="128" t="s">
        <v>485</v>
      </c>
      <c r="M129" s="25"/>
      <c r="N129" s="128">
        <f t="shared" si="22"/>
        <v>0</v>
      </c>
      <c r="O129" s="242"/>
      <c r="P129" s="38">
        <f t="shared" si="23"/>
        <v>0</v>
      </c>
      <c r="Q129" s="33"/>
      <c r="R129" s="212"/>
    </row>
    <row r="130" spans="1:18" ht="30">
      <c r="A130" s="128"/>
      <c r="B130" s="15"/>
      <c r="C130" s="15"/>
      <c r="D130" s="15" t="s">
        <v>428</v>
      </c>
      <c r="E130" s="15"/>
      <c r="F130" s="15"/>
      <c r="G130" s="15"/>
      <c r="H130" s="15"/>
      <c r="I130" s="15"/>
      <c r="J130" s="15"/>
      <c r="K130" s="15"/>
      <c r="L130" s="128" t="s">
        <v>485</v>
      </c>
      <c r="M130" s="25">
        <v>200</v>
      </c>
      <c r="N130" s="128">
        <f t="shared" si="22"/>
        <v>2E-3</v>
      </c>
      <c r="O130" s="242">
        <v>750</v>
      </c>
      <c r="P130" s="38">
        <f t="shared" si="23"/>
        <v>1.5</v>
      </c>
      <c r="Q130" s="33" t="s">
        <v>668</v>
      </c>
      <c r="R130" s="212"/>
    </row>
    <row r="131" spans="1:18" ht="30">
      <c r="A131" s="128"/>
      <c r="B131" s="15"/>
      <c r="C131" s="15"/>
      <c r="D131" s="15" t="s">
        <v>59</v>
      </c>
      <c r="E131" s="15"/>
      <c r="F131" s="15"/>
      <c r="G131" s="15"/>
      <c r="H131" s="15"/>
      <c r="I131" s="15"/>
      <c r="J131" s="15"/>
      <c r="K131" s="15"/>
      <c r="L131" s="128" t="s">
        <v>485</v>
      </c>
      <c r="M131" s="128"/>
      <c r="N131" s="128">
        <f t="shared" si="22"/>
        <v>0</v>
      </c>
      <c r="O131" s="128"/>
      <c r="P131" s="38">
        <f t="shared" si="23"/>
        <v>0</v>
      </c>
      <c r="Q131" s="15"/>
      <c r="R131" s="212"/>
    </row>
    <row r="132" spans="1:18" ht="30">
      <c r="A132" s="128"/>
      <c r="B132" s="15"/>
      <c r="C132" s="15"/>
      <c r="D132" s="15" t="s">
        <v>60</v>
      </c>
      <c r="E132" s="15"/>
      <c r="F132" s="15"/>
      <c r="G132" s="15"/>
      <c r="H132" s="15"/>
      <c r="I132" s="15"/>
      <c r="J132" s="15"/>
      <c r="K132" s="15"/>
      <c r="L132" s="128" t="s">
        <v>485</v>
      </c>
      <c r="M132" s="128"/>
      <c r="N132" s="128">
        <f t="shared" si="22"/>
        <v>0</v>
      </c>
      <c r="O132" s="128"/>
      <c r="P132" s="38">
        <f t="shared" si="23"/>
        <v>0</v>
      </c>
      <c r="Q132" s="15"/>
      <c r="R132" s="212"/>
    </row>
    <row r="133" spans="1:18" ht="30">
      <c r="A133" s="128"/>
      <c r="B133" s="15"/>
      <c r="C133" s="15"/>
      <c r="D133" s="15" t="s">
        <v>60</v>
      </c>
      <c r="E133" s="15"/>
      <c r="F133" s="15"/>
      <c r="G133" s="15"/>
      <c r="H133" s="15"/>
      <c r="I133" s="15"/>
      <c r="J133" s="15"/>
      <c r="K133" s="15"/>
      <c r="L133" s="128" t="s">
        <v>485</v>
      </c>
      <c r="M133" s="128"/>
      <c r="N133" s="128">
        <f t="shared" si="22"/>
        <v>0</v>
      </c>
      <c r="O133" s="128"/>
      <c r="P133" s="38">
        <f t="shared" si="23"/>
        <v>0</v>
      </c>
      <c r="Q133" s="15"/>
      <c r="R133" s="212"/>
    </row>
    <row r="134" spans="1:18">
      <c r="A134" s="128"/>
      <c r="B134" s="15"/>
      <c r="C134" s="15"/>
      <c r="D134" s="26" t="s">
        <v>47</v>
      </c>
      <c r="E134" s="15"/>
      <c r="F134" s="15"/>
      <c r="G134" s="15"/>
      <c r="H134" s="15"/>
      <c r="I134" s="15"/>
      <c r="J134" s="15"/>
      <c r="K134" s="15"/>
      <c r="L134" s="128"/>
      <c r="M134" s="128"/>
      <c r="N134" s="128"/>
      <c r="O134" s="128"/>
      <c r="P134" s="63">
        <f>SUM(P118:P133)</f>
        <v>17.809999999999999</v>
      </c>
      <c r="Q134" s="15"/>
      <c r="R134" s="212"/>
    </row>
    <row r="135" spans="1:18">
      <c r="A135" s="128"/>
      <c r="B135" s="15"/>
      <c r="C135" s="15"/>
      <c r="D135" s="111" t="s">
        <v>48</v>
      </c>
      <c r="E135" s="112"/>
      <c r="F135" s="112"/>
      <c r="G135" s="112"/>
      <c r="H135" s="112"/>
      <c r="I135" s="112"/>
      <c r="J135" s="112"/>
      <c r="K135" s="112"/>
      <c r="L135" s="127"/>
      <c r="M135" s="127"/>
      <c r="N135" s="127"/>
      <c r="O135" s="127"/>
      <c r="P135" s="113"/>
      <c r="Q135" s="15"/>
      <c r="R135" s="212"/>
    </row>
    <row r="136" spans="1:18" ht="30">
      <c r="A136" s="128"/>
      <c r="B136" s="15"/>
      <c r="C136" s="15"/>
      <c r="D136" s="15" t="s">
        <v>38</v>
      </c>
      <c r="E136" s="15"/>
      <c r="F136" s="15"/>
      <c r="G136" s="15"/>
      <c r="H136" s="15"/>
      <c r="I136" s="15"/>
      <c r="J136" s="15"/>
      <c r="K136" s="15"/>
      <c r="L136" s="128" t="s">
        <v>485</v>
      </c>
      <c r="M136" s="128"/>
      <c r="N136" s="128">
        <f t="shared" ref="N136:N146" si="24">M136/100000</f>
        <v>0</v>
      </c>
      <c r="O136" s="128"/>
      <c r="P136" s="38">
        <f t="shared" ref="P136:P146" si="25">O136*N136</f>
        <v>0</v>
      </c>
      <c r="Q136" s="15"/>
      <c r="R136" s="212"/>
    </row>
    <row r="137" spans="1:18" ht="27" customHeight="1">
      <c r="A137" s="128"/>
      <c r="B137" s="15"/>
      <c r="C137" s="15"/>
      <c r="D137" s="15" t="s">
        <v>52</v>
      </c>
      <c r="E137" s="15"/>
      <c r="F137" s="15"/>
      <c r="G137" s="15"/>
      <c r="H137" s="15"/>
      <c r="I137" s="15"/>
      <c r="J137" s="15"/>
      <c r="K137" s="15"/>
      <c r="L137" s="128" t="s">
        <v>485</v>
      </c>
      <c r="M137" s="128">
        <v>1000</v>
      </c>
      <c r="N137" s="128">
        <f t="shared" si="24"/>
        <v>0.01</v>
      </c>
      <c r="O137" s="128">
        <v>610</v>
      </c>
      <c r="P137" s="38">
        <f t="shared" si="25"/>
        <v>6.1000000000000005</v>
      </c>
      <c r="Q137" s="33" t="s">
        <v>669</v>
      </c>
      <c r="R137" s="212"/>
    </row>
    <row r="138" spans="1:18" ht="27" customHeight="1">
      <c r="A138" s="128"/>
      <c r="B138" s="15"/>
      <c r="C138" s="15"/>
      <c r="D138" s="15" t="s">
        <v>61</v>
      </c>
      <c r="E138" s="15"/>
      <c r="F138" s="15"/>
      <c r="G138" s="15"/>
      <c r="H138" s="15"/>
      <c r="I138" s="15"/>
      <c r="J138" s="15"/>
      <c r="K138" s="15"/>
      <c r="L138" s="128" t="s">
        <v>485</v>
      </c>
      <c r="M138" s="128">
        <v>2000</v>
      </c>
      <c r="N138" s="128">
        <f t="shared" si="24"/>
        <v>0.02</v>
      </c>
      <c r="O138" s="128">
        <v>64</v>
      </c>
      <c r="P138" s="38">
        <f t="shared" si="25"/>
        <v>1.28</v>
      </c>
      <c r="Q138" s="33" t="s">
        <v>651</v>
      </c>
      <c r="R138" s="212"/>
    </row>
    <row r="139" spans="1:18" ht="30">
      <c r="A139" s="128"/>
      <c r="B139" s="15"/>
      <c r="C139" s="15"/>
      <c r="D139" s="15" t="s">
        <v>55</v>
      </c>
      <c r="E139" s="15"/>
      <c r="F139" s="15"/>
      <c r="G139" s="15"/>
      <c r="H139" s="15"/>
      <c r="I139" s="15"/>
      <c r="J139" s="15"/>
      <c r="K139" s="15"/>
      <c r="L139" s="128" t="s">
        <v>485</v>
      </c>
      <c r="M139" s="128"/>
      <c r="N139" s="128">
        <f t="shared" si="24"/>
        <v>0</v>
      </c>
      <c r="O139" s="128"/>
      <c r="P139" s="38">
        <f t="shared" si="25"/>
        <v>0</v>
      </c>
      <c r="Q139" s="15"/>
      <c r="R139" s="212"/>
    </row>
    <row r="140" spans="1:18" ht="30">
      <c r="A140" s="128"/>
      <c r="B140" s="15"/>
      <c r="C140" s="15"/>
      <c r="D140" s="15" t="s">
        <v>190</v>
      </c>
      <c r="E140" s="15"/>
      <c r="F140" s="15"/>
      <c r="G140" s="15"/>
      <c r="H140" s="15"/>
      <c r="I140" s="15"/>
      <c r="J140" s="15"/>
      <c r="K140" s="15"/>
      <c r="L140" s="128" t="s">
        <v>485</v>
      </c>
      <c r="M140" s="128"/>
      <c r="N140" s="128">
        <f t="shared" si="24"/>
        <v>0</v>
      </c>
      <c r="O140" s="128"/>
      <c r="P140" s="38">
        <f t="shared" si="25"/>
        <v>0</v>
      </c>
      <c r="Q140" s="15"/>
      <c r="R140" s="212"/>
    </row>
    <row r="141" spans="1:18" ht="30">
      <c r="A141" s="128"/>
      <c r="B141" s="15"/>
      <c r="C141" s="15"/>
      <c r="D141" s="15" t="s">
        <v>62</v>
      </c>
      <c r="E141" s="15"/>
      <c r="F141" s="15"/>
      <c r="G141" s="15"/>
      <c r="H141" s="15"/>
      <c r="I141" s="15"/>
      <c r="J141" s="15"/>
      <c r="K141" s="15"/>
      <c r="L141" s="128" t="s">
        <v>485</v>
      </c>
      <c r="M141" s="128"/>
      <c r="N141" s="128">
        <f t="shared" si="24"/>
        <v>0</v>
      </c>
      <c r="O141" s="128"/>
      <c r="P141" s="38">
        <f t="shared" si="25"/>
        <v>0</v>
      </c>
      <c r="Q141" s="15"/>
      <c r="R141" s="212"/>
    </row>
    <row r="142" spans="1:18" ht="30">
      <c r="A142" s="128"/>
      <c r="B142" s="15"/>
      <c r="C142" s="15"/>
      <c r="D142" s="15" t="s">
        <v>63</v>
      </c>
      <c r="E142" s="15"/>
      <c r="F142" s="15"/>
      <c r="G142" s="15"/>
      <c r="H142" s="15"/>
      <c r="I142" s="15"/>
      <c r="J142" s="15"/>
      <c r="K142" s="15"/>
      <c r="L142" s="128" t="s">
        <v>485</v>
      </c>
      <c r="M142" s="128"/>
      <c r="N142" s="128">
        <f t="shared" si="24"/>
        <v>0</v>
      </c>
      <c r="O142" s="128"/>
      <c r="P142" s="38">
        <f t="shared" si="25"/>
        <v>0</v>
      </c>
      <c r="Q142" s="15"/>
      <c r="R142" s="212"/>
    </row>
    <row r="143" spans="1:18" ht="30">
      <c r="A143" s="128"/>
      <c r="B143" s="15"/>
      <c r="C143" s="15"/>
      <c r="D143" s="15" t="s">
        <v>43</v>
      </c>
      <c r="E143" s="15"/>
      <c r="F143" s="15"/>
      <c r="G143" s="15"/>
      <c r="H143" s="15"/>
      <c r="I143" s="15"/>
      <c r="J143" s="15"/>
      <c r="K143" s="15"/>
      <c r="L143" s="128" t="s">
        <v>485</v>
      </c>
      <c r="M143" s="128"/>
      <c r="N143" s="128">
        <f t="shared" si="24"/>
        <v>0</v>
      </c>
      <c r="O143" s="128"/>
      <c r="P143" s="38">
        <f t="shared" si="25"/>
        <v>0</v>
      </c>
      <c r="Q143" s="15"/>
      <c r="R143" s="212"/>
    </row>
    <row r="144" spans="1:18" ht="105">
      <c r="A144" s="128"/>
      <c r="B144" s="15"/>
      <c r="C144" s="15"/>
      <c r="D144" s="93" t="s">
        <v>430</v>
      </c>
      <c r="E144" s="15"/>
      <c r="F144" s="15"/>
      <c r="G144" s="15"/>
      <c r="H144" s="15"/>
      <c r="I144" s="15"/>
      <c r="J144" s="15"/>
      <c r="K144" s="15"/>
      <c r="L144" s="128" t="s">
        <v>485</v>
      </c>
      <c r="M144" s="128"/>
      <c r="N144" s="128">
        <f t="shared" si="24"/>
        <v>0</v>
      </c>
      <c r="O144" s="128"/>
      <c r="P144" s="38">
        <f t="shared" si="25"/>
        <v>0</v>
      </c>
      <c r="Q144" s="15"/>
      <c r="R144" s="212"/>
    </row>
    <row r="145" spans="1:18" ht="30">
      <c r="A145" s="128"/>
      <c r="B145" s="15"/>
      <c r="C145" s="15"/>
      <c r="D145" s="15" t="s">
        <v>60</v>
      </c>
      <c r="E145" s="15"/>
      <c r="F145" s="15"/>
      <c r="G145" s="15"/>
      <c r="H145" s="15"/>
      <c r="I145" s="15"/>
      <c r="J145" s="15"/>
      <c r="K145" s="15"/>
      <c r="L145" s="128" t="s">
        <v>485</v>
      </c>
      <c r="M145" s="128"/>
      <c r="N145" s="128">
        <f t="shared" si="24"/>
        <v>0</v>
      </c>
      <c r="O145" s="128"/>
      <c r="P145" s="38">
        <f t="shared" si="25"/>
        <v>0</v>
      </c>
      <c r="Q145" s="15"/>
      <c r="R145" s="212"/>
    </row>
    <row r="146" spans="1:18" ht="30">
      <c r="A146" s="128"/>
      <c r="B146" s="15"/>
      <c r="C146" s="15"/>
      <c r="D146" s="15" t="s">
        <v>60</v>
      </c>
      <c r="E146" s="15"/>
      <c r="F146" s="15"/>
      <c r="G146" s="15"/>
      <c r="H146" s="15"/>
      <c r="I146" s="15"/>
      <c r="J146" s="15"/>
      <c r="K146" s="15"/>
      <c r="L146" s="128" t="s">
        <v>485</v>
      </c>
      <c r="M146" s="128"/>
      <c r="N146" s="128">
        <f t="shared" si="24"/>
        <v>0</v>
      </c>
      <c r="O146" s="128"/>
      <c r="P146" s="38">
        <f t="shared" si="25"/>
        <v>0</v>
      </c>
      <c r="Q146" s="15"/>
      <c r="R146" s="212"/>
    </row>
    <row r="147" spans="1:18">
      <c r="A147" s="128"/>
      <c r="B147" s="15"/>
      <c r="C147" s="15"/>
      <c r="D147" s="26" t="s">
        <v>64</v>
      </c>
      <c r="E147" s="15"/>
      <c r="F147" s="15"/>
      <c r="G147" s="15"/>
      <c r="H147" s="15"/>
      <c r="I147" s="15"/>
      <c r="J147" s="15"/>
      <c r="K147" s="15"/>
      <c r="L147" s="128"/>
      <c r="M147" s="128"/>
      <c r="N147" s="128"/>
      <c r="O147" s="128"/>
      <c r="P147" s="63">
        <f>SUM(P136:P146)</f>
        <v>7.3800000000000008</v>
      </c>
      <c r="Q147" s="15"/>
      <c r="R147" s="212"/>
    </row>
    <row r="148" spans="1:18">
      <c r="A148" s="128"/>
      <c r="B148" s="8" t="s">
        <v>585</v>
      </c>
      <c r="C148" s="8" t="s">
        <v>65</v>
      </c>
      <c r="D148" s="8" t="s">
        <v>586</v>
      </c>
      <c r="E148" s="23" t="s">
        <v>626</v>
      </c>
      <c r="F148" s="23" t="s">
        <v>561</v>
      </c>
      <c r="G148" s="8"/>
      <c r="H148" s="8"/>
      <c r="I148" s="8"/>
      <c r="J148" s="8"/>
      <c r="K148" s="8"/>
      <c r="L148" s="103"/>
      <c r="M148" s="103"/>
      <c r="N148" s="103"/>
      <c r="O148" s="103"/>
      <c r="P148" s="74">
        <f>P149+P156+P162</f>
        <v>2801.1</v>
      </c>
      <c r="Q148" s="8"/>
      <c r="R148" s="212"/>
    </row>
    <row r="149" spans="1:18" s="177" customFormat="1" ht="22.5">
      <c r="A149" s="132"/>
      <c r="B149" s="178" t="s">
        <v>587</v>
      </c>
      <c r="C149" s="178"/>
      <c r="D149" s="178" t="s">
        <v>220</v>
      </c>
      <c r="E149" s="175" t="s">
        <v>626</v>
      </c>
      <c r="F149" s="175" t="s">
        <v>561</v>
      </c>
      <c r="G149" s="175"/>
      <c r="H149" s="175"/>
      <c r="I149" s="175"/>
      <c r="J149" s="175"/>
      <c r="K149" s="175"/>
      <c r="L149" s="176"/>
      <c r="M149" s="176"/>
      <c r="N149" s="176"/>
      <c r="O149" s="176"/>
      <c r="P149" s="179">
        <f>P155</f>
        <v>2791.1</v>
      </c>
      <c r="Q149" s="175"/>
      <c r="R149" s="218"/>
    </row>
    <row r="150" spans="1:18" ht="45">
      <c r="A150" s="128"/>
      <c r="B150" s="15"/>
      <c r="C150" s="15"/>
      <c r="D150" s="15" t="s">
        <v>448</v>
      </c>
      <c r="E150" s="15"/>
      <c r="F150" s="15"/>
      <c r="G150" s="15"/>
      <c r="H150" s="15"/>
      <c r="I150" s="33">
        <v>188.5</v>
      </c>
      <c r="J150" s="33">
        <v>151.4</v>
      </c>
      <c r="K150" s="15"/>
      <c r="L150" s="128" t="s">
        <v>486</v>
      </c>
      <c r="M150" s="25">
        <v>1000000</v>
      </c>
      <c r="N150" s="128">
        <f t="shared" ref="N150:N154" si="26">M150/100000</f>
        <v>10</v>
      </c>
      <c r="O150" s="128">
        <v>2</v>
      </c>
      <c r="P150" s="38">
        <f>O150*N150</f>
        <v>20</v>
      </c>
      <c r="Q150" s="33" t="s">
        <v>670</v>
      </c>
      <c r="R150" s="212"/>
    </row>
    <row r="151" spans="1:18" s="144" customFormat="1" ht="30">
      <c r="A151" s="35"/>
      <c r="B151" s="34"/>
      <c r="C151" s="34"/>
      <c r="D151" s="34" t="s">
        <v>451</v>
      </c>
      <c r="E151" s="34"/>
      <c r="F151" s="34"/>
      <c r="G151" s="34"/>
      <c r="H151" s="34"/>
      <c r="I151" s="34"/>
      <c r="J151" s="34"/>
      <c r="K151" s="34"/>
      <c r="L151" s="128" t="s">
        <v>486</v>
      </c>
      <c r="M151" s="25"/>
      <c r="N151" s="35">
        <f t="shared" si="26"/>
        <v>0</v>
      </c>
      <c r="O151" s="35">
        <v>0</v>
      </c>
      <c r="P151" s="60">
        <f t="shared" ref="P151:P153" si="27">O151*N151</f>
        <v>0</v>
      </c>
      <c r="Q151" s="33"/>
      <c r="R151" s="214"/>
    </row>
    <row r="152" spans="1:18" s="144" customFormat="1" ht="45">
      <c r="A152" s="35"/>
      <c r="B152" s="34"/>
      <c r="C152" s="34"/>
      <c r="D152" s="34" t="s">
        <v>450</v>
      </c>
      <c r="E152" s="34"/>
      <c r="F152" s="34"/>
      <c r="G152" s="34"/>
      <c r="H152" s="34"/>
      <c r="I152" s="34"/>
      <c r="J152" s="34"/>
      <c r="K152" s="34"/>
      <c r="L152" s="35" t="s">
        <v>487</v>
      </c>
      <c r="M152" s="25">
        <v>1000000</v>
      </c>
      <c r="N152" s="35">
        <f t="shared" si="26"/>
        <v>10</v>
      </c>
      <c r="O152" s="25">
        <v>27.9</v>
      </c>
      <c r="P152" s="60">
        <f t="shared" si="27"/>
        <v>279</v>
      </c>
      <c r="Q152" s="33" t="s">
        <v>671</v>
      </c>
      <c r="R152" s="214"/>
    </row>
    <row r="153" spans="1:18" s="144" customFormat="1" ht="30">
      <c r="A153" s="35"/>
      <c r="B153" s="34"/>
      <c r="C153" s="34"/>
      <c r="D153" s="34" t="s">
        <v>449</v>
      </c>
      <c r="E153" s="34"/>
      <c r="F153" s="34"/>
      <c r="G153" s="34"/>
      <c r="H153" s="34"/>
      <c r="I153" s="34"/>
      <c r="J153" s="34"/>
      <c r="K153" s="34"/>
      <c r="L153" s="35" t="s">
        <v>488</v>
      </c>
      <c r="M153" s="35"/>
      <c r="N153" s="35">
        <f t="shared" si="26"/>
        <v>0</v>
      </c>
      <c r="O153" s="35"/>
      <c r="P153" s="60">
        <f t="shared" si="27"/>
        <v>0</v>
      </c>
      <c r="Q153" s="33"/>
      <c r="R153" s="214"/>
    </row>
    <row r="154" spans="1:18" s="144" customFormat="1" ht="77.45" customHeight="1">
      <c r="A154" s="35"/>
      <c r="B154" s="34"/>
      <c r="C154" s="34"/>
      <c r="D154" s="34" t="s">
        <v>447</v>
      </c>
      <c r="E154" s="34"/>
      <c r="F154" s="34"/>
      <c r="G154" s="34"/>
      <c r="H154" s="34"/>
      <c r="I154" s="34"/>
      <c r="J154" s="34"/>
      <c r="K154" s="34"/>
      <c r="L154" s="35" t="s">
        <v>489</v>
      </c>
      <c r="M154" s="242">
        <v>710</v>
      </c>
      <c r="N154" s="35">
        <f t="shared" si="26"/>
        <v>7.1000000000000004E-3</v>
      </c>
      <c r="O154" s="35">
        <v>225</v>
      </c>
      <c r="P154" s="264">
        <f>225*5*26*12*710/100000</f>
        <v>2492.1</v>
      </c>
      <c r="Q154" s="33" t="s">
        <v>672</v>
      </c>
      <c r="R154" s="214"/>
    </row>
    <row r="155" spans="1:18">
      <c r="A155" s="128"/>
      <c r="B155" s="15"/>
      <c r="C155" s="15"/>
      <c r="D155" s="26" t="s">
        <v>18</v>
      </c>
      <c r="E155" s="15"/>
      <c r="F155" s="15"/>
      <c r="G155" s="15"/>
      <c r="H155" s="15"/>
      <c r="I155" s="15"/>
      <c r="J155" s="15"/>
      <c r="K155" s="15"/>
      <c r="L155" s="128"/>
      <c r="M155" s="128"/>
      <c r="N155" s="128"/>
      <c r="O155" s="128"/>
      <c r="P155" s="63">
        <f>SUM(P150:P154)</f>
        <v>2791.1</v>
      </c>
      <c r="Q155" s="15"/>
      <c r="R155" s="212"/>
    </row>
    <row r="156" spans="1:18" s="177" customFormat="1" ht="22.5">
      <c r="A156" s="132"/>
      <c r="B156" s="178" t="s">
        <v>588</v>
      </c>
      <c r="C156" s="178" t="s">
        <v>66</v>
      </c>
      <c r="D156" s="178" t="s">
        <v>67</v>
      </c>
      <c r="E156" s="175" t="s">
        <v>626</v>
      </c>
      <c r="F156" s="175" t="s">
        <v>561</v>
      </c>
      <c r="G156" s="175"/>
      <c r="H156" s="175"/>
      <c r="I156" s="175"/>
      <c r="J156" s="175"/>
      <c r="K156" s="175"/>
      <c r="L156" s="176"/>
      <c r="M156" s="176"/>
      <c r="N156" s="176"/>
      <c r="O156" s="176"/>
      <c r="P156" s="180">
        <f>P158+P159+P161</f>
        <v>0</v>
      </c>
      <c r="Q156" s="175"/>
      <c r="R156" s="218"/>
    </row>
    <row r="157" spans="1:18" s="144" customFormat="1">
      <c r="A157" s="35"/>
      <c r="B157" s="34"/>
      <c r="C157" s="34"/>
      <c r="D157" s="97" t="s">
        <v>431</v>
      </c>
      <c r="E157" s="34"/>
      <c r="F157" s="34"/>
      <c r="G157" s="34"/>
      <c r="H157" s="34"/>
      <c r="I157" s="34"/>
      <c r="J157" s="34"/>
      <c r="K157" s="34"/>
      <c r="L157" s="34"/>
      <c r="M157" s="34"/>
      <c r="N157" s="34"/>
      <c r="O157" s="34"/>
      <c r="P157" s="34"/>
      <c r="Q157" s="34"/>
      <c r="R157" s="214"/>
    </row>
    <row r="158" spans="1:18" s="144" customFormat="1">
      <c r="A158" s="35"/>
      <c r="B158" s="34"/>
      <c r="C158" s="34"/>
      <c r="D158" s="121" t="s">
        <v>372</v>
      </c>
      <c r="E158" s="34"/>
      <c r="F158" s="34"/>
      <c r="G158" s="34"/>
      <c r="H158" s="34"/>
      <c r="I158" s="34"/>
      <c r="J158" s="34"/>
      <c r="K158" s="34"/>
      <c r="L158" s="35" t="s">
        <v>490</v>
      </c>
      <c r="M158" s="35"/>
      <c r="N158" s="35">
        <f>M158/100000</f>
        <v>0</v>
      </c>
      <c r="O158" s="35"/>
      <c r="P158" s="60">
        <f>O158*N158</f>
        <v>0</v>
      </c>
      <c r="Q158" s="34"/>
      <c r="R158" s="214"/>
    </row>
    <row r="159" spans="1:18" s="144" customFormat="1">
      <c r="A159" s="35"/>
      <c r="B159" s="34"/>
      <c r="C159" s="34"/>
      <c r="D159" s="97" t="s">
        <v>432</v>
      </c>
      <c r="E159" s="34"/>
      <c r="F159" s="34"/>
      <c r="G159" s="34"/>
      <c r="H159" s="34"/>
      <c r="I159" s="34"/>
      <c r="J159" s="34"/>
      <c r="K159" s="34"/>
      <c r="L159" s="35"/>
      <c r="M159" s="35"/>
      <c r="N159" s="35"/>
      <c r="O159" s="35"/>
      <c r="P159" s="60"/>
      <c r="Q159" s="34"/>
      <c r="R159" s="214"/>
    </row>
    <row r="160" spans="1:18" s="144" customFormat="1">
      <c r="A160" s="35"/>
      <c r="B160" s="34"/>
      <c r="C160" s="34"/>
      <c r="D160" s="121" t="s">
        <v>372</v>
      </c>
      <c r="E160" s="34"/>
      <c r="F160" s="34"/>
      <c r="G160" s="34"/>
      <c r="H160" s="34"/>
      <c r="I160" s="34"/>
      <c r="J160" s="34"/>
      <c r="K160" s="34"/>
      <c r="L160" s="35" t="s">
        <v>490</v>
      </c>
      <c r="M160" s="35"/>
      <c r="N160" s="35">
        <f>M160/100000</f>
        <v>0</v>
      </c>
      <c r="O160" s="35"/>
      <c r="P160" s="60">
        <f>O160*N160</f>
        <v>0</v>
      </c>
      <c r="Q160" s="34"/>
      <c r="R160" s="214"/>
    </row>
    <row r="161" spans="1:18" s="144" customFormat="1">
      <c r="A161" s="35"/>
      <c r="B161" s="34"/>
      <c r="C161" s="34"/>
      <c r="D161" s="34" t="s">
        <v>68</v>
      </c>
      <c r="E161" s="34"/>
      <c r="F161" s="34"/>
      <c r="G161" s="34"/>
      <c r="H161" s="34"/>
      <c r="I161" s="34"/>
      <c r="J161" s="34"/>
      <c r="K161" s="34"/>
      <c r="L161" s="35"/>
      <c r="M161" s="35"/>
      <c r="N161" s="35">
        <f>M161/100000</f>
        <v>0</v>
      </c>
      <c r="O161" s="35"/>
      <c r="P161" s="60">
        <f>O161*N161</f>
        <v>0</v>
      </c>
      <c r="Q161" s="34"/>
      <c r="R161" s="214"/>
    </row>
    <row r="162" spans="1:18" s="177" customFormat="1" ht="22.5">
      <c r="A162" s="132"/>
      <c r="B162" s="178" t="s">
        <v>589</v>
      </c>
      <c r="C162" s="175"/>
      <c r="D162" s="178" t="s">
        <v>69</v>
      </c>
      <c r="E162" s="175" t="s">
        <v>626</v>
      </c>
      <c r="F162" s="175" t="s">
        <v>561</v>
      </c>
      <c r="G162" s="175"/>
      <c r="H162" s="175"/>
      <c r="I162" s="175"/>
      <c r="J162" s="175"/>
      <c r="K162" s="175"/>
      <c r="L162" s="176"/>
      <c r="M162" s="176"/>
      <c r="N162" s="176"/>
      <c r="O162" s="176"/>
      <c r="P162" s="180">
        <f>P163+P164</f>
        <v>10</v>
      </c>
      <c r="Q162" s="175"/>
      <c r="R162" s="218"/>
    </row>
    <row r="163" spans="1:18" ht="30">
      <c r="A163" s="128"/>
      <c r="B163" s="15"/>
      <c r="C163" s="15"/>
      <c r="D163" s="15" t="s">
        <v>673</v>
      </c>
      <c r="E163" s="15"/>
      <c r="F163" s="15"/>
      <c r="G163" s="15"/>
      <c r="H163" s="15"/>
      <c r="I163" s="15"/>
      <c r="J163" s="15"/>
      <c r="K163" s="15"/>
      <c r="L163" s="128" t="s">
        <v>491</v>
      </c>
      <c r="M163" s="242">
        <v>1000000</v>
      </c>
      <c r="N163" s="128">
        <f t="shared" ref="N163:N164" si="28">M163/100000</f>
        <v>10</v>
      </c>
      <c r="O163" s="128">
        <v>1</v>
      </c>
      <c r="P163" s="38">
        <f>N163*O163</f>
        <v>10</v>
      </c>
      <c r="Q163" s="15" t="s">
        <v>651</v>
      </c>
      <c r="R163" s="212"/>
    </row>
    <row r="164" spans="1:18">
      <c r="A164" s="128"/>
      <c r="B164" s="15"/>
      <c r="C164" s="15"/>
      <c r="D164" s="15" t="s">
        <v>60</v>
      </c>
      <c r="E164" s="15"/>
      <c r="F164" s="15"/>
      <c r="G164" s="15"/>
      <c r="H164" s="15"/>
      <c r="I164" s="15"/>
      <c r="J164" s="15"/>
      <c r="K164" s="15"/>
      <c r="L164" s="128" t="s">
        <v>491</v>
      </c>
      <c r="M164" s="128"/>
      <c r="N164" s="128">
        <f t="shared" si="28"/>
        <v>0</v>
      </c>
      <c r="O164" s="128"/>
      <c r="P164" s="38">
        <f>N164*O164</f>
        <v>0</v>
      </c>
      <c r="Q164" s="15"/>
      <c r="R164" s="212"/>
    </row>
    <row r="165" spans="1:18" s="183" customFormat="1">
      <c r="A165" s="9"/>
      <c r="B165" s="181" t="s">
        <v>590</v>
      </c>
      <c r="C165" s="31"/>
      <c r="D165" s="31" t="s">
        <v>591</v>
      </c>
      <c r="E165" s="23" t="s">
        <v>626</v>
      </c>
      <c r="F165" s="23" t="s">
        <v>561</v>
      </c>
      <c r="G165" s="31"/>
      <c r="H165" s="31"/>
      <c r="I165" s="31"/>
      <c r="J165" s="31"/>
      <c r="K165" s="31"/>
      <c r="L165" s="9"/>
      <c r="M165" s="9"/>
      <c r="N165" s="9"/>
      <c r="O165" s="9"/>
      <c r="P165" s="62">
        <f>P166+P179+P183</f>
        <v>0</v>
      </c>
      <c r="Q165" s="31"/>
      <c r="R165" s="219"/>
    </row>
    <row r="166" spans="1:18" s="157" customFormat="1" ht="30">
      <c r="A166" s="134"/>
      <c r="B166" s="133" t="s">
        <v>592</v>
      </c>
      <c r="C166" s="178" t="s">
        <v>70</v>
      </c>
      <c r="D166" s="178" t="s">
        <v>71</v>
      </c>
      <c r="E166" s="178"/>
      <c r="F166" s="178"/>
      <c r="G166" s="178"/>
      <c r="H166" s="178"/>
      <c r="I166" s="178"/>
      <c r="J166" s="178"/>
      <c r="K166" s="178"/>
      <c r="L166" s="182"/>
      <c r="M166" s="182"/>
      <c r="N166" s="182"/>
      <c r="O166" s="182"/>
      <c r="P166" s="180">
        <f>P170+P178</f>
        <v>0</v>
      </c>
      <c r="Q166" s="178"/>
      <c r="R166" s="215"/>
    </row>
    <row r="167" spans="1:18">
      <c r="A167" s="128"/>
      <c r="B167" s="15"/>
      <c r="C167" s="15"/>
      <c r="D167" s="111" t="s">
        <v>37</v>
      </c>
      <c r="E167" s="112"/>
      <c r="F167" s="112"/>
      <c r="G167" s="112"/>
      <c r="H167" s="112"/>
      <c r="I167" s="112"/>
      <c r="J167" s="112"/>
      <c r="K167" s="112"/>
      <c r="L167" s="127"/>
      <c r="M167" s="114"/>
      <c r="N167" s="114"/>
      <c r="O167" s="114"/>
      <c r="P167" s="115"/>
      <c r="Q167" s="15"/>
      <c r="R167" s="212"/>
    </row>
    <row r="168" spans="1:18">
      <c r="A168" s="128"/>
      <c r="B168" s="15"/>
      <c r="C168" s="15"/>
      <c r="D168" s="15" t="s">
        <v>72</v>
      </c>
      <c r="E168" s="15"/>
      <c r="F168" s="15"/>
      <c r="G168" s="15"/>
      <c r="H168" s="15"/>
      <c r="I168" s="15"/>
      <c r="J168" s="15"/>
      <c r="K168" s="15"/>
      <c r="L168" s="128" t="s">
        <v>492</v>
      </c>
      <c r="M168" s="128"/>
      <c r="N168" s="128">
        <f t="shared" ref="N168:N169" si="29">M168/100000</f>
        <v>0</v>
      </c>
      <c r="O168" s="128"/>
      <c r="P168" s="38">
        <f>N168*O168</f>
        <v>0</v>
      </c>
      <c r="Q168" s="15"/>
      <c r="R168" s="212"/>
    </row>
    <row r="169" spans="1:18">
      <c r="A169" s="128"/>
      <c r="B169" s="15"/>
      <c r="C169" s="15"/>
      <c r="D169" s="15" t="s">
        <v>73</v>
      </c>
      <c r="E169" s="15"/>
      <c r="F169" s="15"/>
      <c r="G169" s="15"/>
      <c r="H169" s="15"/>
      <c r="I169" s="15"/>
      <c r="J169" s="15"/>
      <c r="K169" s="15"/>
      <c r="L169" s="128" t="s">
        <v>492</v>
      </c>
      <c r="M169" s="128"/>
      <c r="N169" s="128">
        <f t="shared" si="29"/>
        <v>0</v>
      </c>
      <c r="O169" s="128"/>
      <c r="P169" s="38">
        <f>N169*O169</f>
        <v>0</v>
      </c>
      <c r="Q169" s="15"/>
      <c r="R169" s="212"/>
    </row>
    <row r="170" spans="1:18">
      <c r="A170" s="128"/>
      <c r="B170" s="15"/>
      <c r="C170" s="15"/>
      <c r="D170" s="26" t="s">
        <v>47</v>
      </c>
      <c r="E170" s="15"/>
      <c r="F170" s="15"/>
      <c r="G170" s="15"/>
      <c r="H170" s="15"/>
      <c r="I170" s="15"/>
      <c r="J170" s="15"/>
      <c r="K170" s="15"/>
      <c r="L170" s="128"/>
      <c r="M170" s="128"/>
      <c r="N170" s="128"/>
      <c r="O170" s="128"/>
      <c r="P170" s="63">
        <f>P168+P169</f>
        <v>0</v>
      </c>
      <c r="Q170" s="15"/>
      <c r="R170" s="212"/>
    </row>
    <row r="171" spans="1:18">
      <c r="A171" s="128"/>
      <c r="B171" s="15"/>
      <c r="C171" s="15"/>
      <c r="D171" s="111" t="s">
        <v>48</v>
      </c>
      <c r="E171" s="382"/>
      <c r="F171" s="382"/>
      <c r="G171" s="382"/>
      <c r="H171" s="382"/>
      <c r="I171" s="382"/>
      <c r="J171" s="382"/>
      <c r="K171" s="382"/>
      <c r="L171" s="382"/>
      <c r="M171" s="382"/>
      <c r="N171" s="382"/>
      <c r="O171" s="382"/>
      <c r="P171" s="382"/>
      <c r="Q171" s="15"/>
      <c r="R171" s="212"/>
    </row>
    <row r="172" spans="1:18">
      <c r="A172" s="128"/>
      <c r="B172" s="15"/>
      <c r="C172" s="15"/>
      <c r="D172" s="15" t="s">
        <v>74</v>
      </c>
      <c r="E172" s="378"/>
      <c r="F172" s="378"/>
      <c r="G172" s="378"/>
      <c r="H172" s="378"/>
      <c r="I172" s="378"/>
      <c r="J172" s="378"/>
      <c r="K172" s="378"/>
      <c r="L172" s="378"/>
      <c r="M172" s="378"/>
      <c r="N172" s="378"/>
      <c r="O172" s="378"/>
      <c r="P172" s="378"/>
      <c r="Q172" s="15"/>
      <c r="R172" s="212"/>
    </row>
    <row r="173" spans="1:18">
      <c r="A173" s="128"/>
      <c r="B173" s="15"/>
      <c r="C173" s="15"/>
      <c r="D173" s="15" t="s">
        <v>75</v>
      </c>
      <c r="E173" s="15"/>
      <c r="F173" s="15"/>
      <c r="G173" s="15"/>
      <c r="H173" s="15"/>
      <c r="I173" s="15"/>
      <c r="J173" s="15"/>
      <c r="K173" s="15"/>
      <c r="L173" s="128" t="s">
        <v>492</v>
      </c>
      <c r="M173" s="128"/>
      <c r="N173" s="128">
        <f t="shared" ref="N173:N174" si="30">M173/100000</f>
        <v>0</v>
      </c>
      <c r="O173" s="128"/>
      <c r="P173" s="38">
        <f>N173*O173</f>
        <v>0</v>
      </c>
      <c r="Q173" s="15"/>
      <c r="R173" s="212"/>
    </row>
    <row r="174" spans="1:18" ht="18" customHeight="1">
      <c r="A174" s="128"/>
      <c r="B174" s="15"/>
      <c r="C174" s="15"/>
      <c r="D174" s="34" t="s">
        <v>76</v>
      </c>
      <c r="E174" s="34"/>
      <c r="F174" s="34"/>
      <c r="G174" s="34"/>
      <c r="H174" s="34"/>
      <c r="I174" s="34"/>
      <c r="J174" s="34"/>
      <c r="K174" s="34"/>
      <c r="L174" s="128" t="s">
        <v>492</v>
      </c>
      <c r="M174" s="35"/>
      <c r="N174" s="35">
        <f t="shared" si="30"/>
        <v>0</v>
      </c>
      <c r="O174" s="35"/>
      <c r="P174" s="60">
        <f>N174*O174</f>
        <v>0</v>
      </c>
      <c r="Q174" s="28"/>
      <c r="R174" s="212"/>
    </row>
    <row r="175" spans="1:18">
      <c r="A175" s="128"/>
      <c r="B175" s="15"/>
      <c r="C175" s="15"/>
      <c r="D175" s="15" t="s">
        <v>77</v>
      </c>
      <c r="E175" s="378"/>
      <c r="F175" s="378"/>
      <c r="G175" s="378"/>
      <c r="H175" s="378"/>
      <c r="I175" s="378"/>
      <c r="J175" s="378"/>
      <c r="K175" s="378"/>
      <c r="L175" s="378"/>
      <c r="M175" s="378"/>
      <c r="N175" s="378"/>
      <c r="O175" s="378"/>
      <c r="P175" s="378"/>
      <c r="Q175" s="34"/>
      <c r="R175" s="212"/>
    </row>
    <row r="176" spans="1:18">
      <c r="A176" s="128"/>
      <c r="B176" s="15"/>
      <c r="C176" s="15"/>
      <c r="D176" s="15" t="s">
        <v>75</v>
      </c>
      <c r="E176" s="15"/>
      <c r="F176" s="15"/>
      <c r="G176" s="15"/>
      <c r="H176" s="15"/>
      <c r="I176" s="15"/>
      <c r="J176" s="15"/>
      <c r="K176" s="15"/>
      <c r="L176" s="128" t="s">
        <v>492</v>
      </c>
      <c r="M176" s="128"/>
      <c r="N176" s="128">
        <f t="shared" ref="N176:N177" si="31">M176/100000</f>
        <v>0</v>
      </c>
      <c r="O176" s="128"/>
      <c r="P176" s="38">
        <f>N176*O176</f>
        <v>0</v>
      </c>
      <c r="Q176" s="34"/>
      <c r="R176" s="212"/>
    </row>
    <row r="177" spans="1:18">
      <c r="A177" s="128"/>
      <c r="B177" s="15"/>
      <c r="C177" s="15"/>
      <c r="D177" s="15" t="s">
        <v>76</v>
      </c>
      <c r="E177" s="15"/>
      <c r="F177" s="15"/>
      <c r="G177" s="15"/>
      <c r="H177" s="15"/>
      <c r="I177" s="15"/>
      <c r="J177" s="15"/>
      <c r="K177" s="15"/>
      <c r="L177" s="128" t="s">
        <v>492</v>
      </c>
      <c r="M177" s="128"/>
      <c r="N177" s="128">
        <f t="shared" si="31"/>
        <v>0</v>
      </c>
      <c r="O177" s="128"/>
      <c r="P177" s="38">
        <f>N177*O177</f>
        <v>0</v>
      </c>
      <c r="Q177" s="34"/>
      <c r="R177" s="212"/>
    </row>
    <row r="178" spans="1:18">
      <c r="A178" s="128"/>
      <c r="B178" s="15"/>
      <c r="C178" s="15"/>
      <c r="D178" s="26" t="s">
        <v>64</v>
      </c>
      <c r="E178" s="15"/>
      <c r="F178" s="15"/>
      <c r="G178" s="15"/>
      <c r="H178" s="15"/>
      <c r="I178" s="15"/>
      <c r="J178" s="15"/>
      <c r="K178" s="15"/>
      <c r="L178" s="128"/>
      <c r="M178" s="128"/>
      <c r="N178" s="128"/>
      <c r="O178" s="128"/>
      <c r="P178" s="63">
        <f>SUM(P173+P174+P176+P177)</f>
        <v>0</v>
      </c>
      <c r="Q178" s="15"/>
      <c r="R178" s="212"/>
    </row>
    <row r="179" spans="1:18" s="157" customFormat="1" ht="30">
      <c r="A179" s="134"/>
      <c r="B179" s="133" t="s">
        <v>593</v>
      </c>
      <c r="C179" s="178" t="s">
        <v>78</v>
      </c>
      <c r="D179" s="184" t="s">
        <v>329</v>
      </c>
      <c r="E179" s="178"/>
      <c r="F179" s="178"/>
      <c r="G179" s="178"/>
      <c r="H179" s="178"/>
      <c r="I179" s="178"/>
      <c r="J179" s="178"/>
      <c r="K179" s="178"/>
      <c r="L179" s="182"/>
      <c r="M179" s="134"/>
      <c r="N179" s="134"/>
      <c r="O179" s="134"/>
      <c r="P179" s="135">
        <f>P180+P181+P182</f>
        <v>0</v>
      </c>
      <c r="Q179" s="178"/>
      <c r="R179" s="215"/>
    </row>
    <row r="180" spans="1:18" s="144" customFormat="1">
      <c r="A180" s="35"/>
      <c r="B180" s="34"/>
      <c r="C180" s="34"/>
      <c r="D180" s="34" t="s">
        <v>272</v>
      </c>
      <c r="E180" s="34"/>
      <c r="F180" s="34"/>
      <c r="G180" s="34"/>
      <c r="H180" s="34"/>
      <c r="I180" s="34"/>
      <c r="J180" s="34"/>
      <c r="K180" s="34"/>
      <c r="L180" s="35" t="s">
        <v>493</v>
      </c>
      <c r="M180" s="35"/>
      <c r="N180" s="35">
        <f>M180/100000</f>
        <v>0</v>
      </c>
      <c r="O180" s="35"/>
      <c r="P180" s="60">
        <f>O180*N180</f>
        <v>0</v>
      </c>
      <c r="Q180" s="28"/>
      <c r="R180" s="214"/>
    </row>
    <row r="181" spans="1:18" s="144" customFormat="1">
      <c r="A181" s="35"/>
      <c r="B181" s="34"/>
      <c r="C181" s="34"/>
      <c r="D181" s="34" t="s">
        <v>192</v>
      </c>
      <c r="E181" s="34"/>
      <c r="F181" s="34"/>
      <c r="G181" s="34"/>
      <c r="H181" s="34"/>
      <c r="I181" s="34"/>
      <c r="J181" s="34"/>
      <c r="K181" s="34"/>
      <c r="L181" s="35" t="s">
        <v>494</v>
      </c>
      <c r="M181" s="35"/>
      <c r="N181" s="35">
        <f>M181/100000</f>
        <v>0</v>
      </c>
      <c r="O181" s="35"/>
      <c r="P181" s="60">
        <f>O181*N181</f>
        <v>0</v>
      </c>
      <c r="Q181" s="28"/>
      <c r="R181" s="214"/>
    </row>
    <row r="182" spans="1:18">
      <c r="A182" s="128"/>
      <c r="B182" s="15"/>
      <c r="C182" s="15"/>
      <c r="D182" s="15" t="s">
        <v>181</v>
      </c>
      <c r="E182" s="15"/>
      <c r="F182" s="15"/>
      <c r="G182" s="15"/>
      <c r="H182" s="15"/>
      <c r="I182" s="15"/>
      <c r="J182" s="15"/>
      <c r="K182" s="15"/>
      <c r="L182" s="128"/>
      <c r="M182" s="128"/>
      <c r="N182" s="128">
        <f>M182/100000</f>
        <v>0</v>
      </c>
      <c r="O182" s="128"/>
      <c r="P182" s="38">
        <f>O182*N182</f>
        <v>0</v>
      </c>
      <c r="Q182" s="28"/>
      <c r="R182" s="212"/>
    </row>
    <row r="183" spans="1:18" s="157" customFormat="1" ht="30">
      <c r="A183" s="134"/>
      <c r="B183" s="133" t="s">
        <v>594</v>
      </c>
      <c r="C183" s="178"/>
      <c r="D183" s="178" t="s">
        <v>79</v>
      </c>
      <c r="E183" s="178" t="s">
        <v>626</v>
      </c>
      <c r="F183" s="178" t="s">
        <v>561</v>
      </c>
      <c r="G183" s="178"/>
      <c r="H183" s="178"/>
      <c r="I183" s="178"/>
      <c r="J183" s="178"/>
      <c r="K183" s="178"/>
      <c r="L183" s="182"/>
      <c r="M183" s="182"/>
      <c r="N183" s="182"/>
      <c r="O183" s="182"/>
      <c r="P183" s="185">
        <f>P184</f>
        <v>0</v>
      </c>
      <c r="Q183" s="178"/>
      <c r="R183" s="215"/>
    </row>
    <row r="184" spans="1:18">
      <c r="A184" s="128"/>
      <c r="B184" s="15"/>
      <c r="C184" s="15"/>
      <c r="D184" s="26" t="s">
        <v>79</v>
      </c>
      <c r="E184" s="15"/>
      <c r="F184" s="15"/>
      <c r="G184" s="15"/>
      <c r="H184" s="15"/>
      <c r="I184" s="15"/>
      <c r="J184" s="15"/>
      <c r="K184" s="15"/>
      <c r="L184" s="128"/>
      <c r="M184" s="128"/>
      <c r="N184" s="128">
        <f t="shared" ref="N184" si="32">M184/100000</f>
        <v>0</v>
      </c>
      <c r="O184" s="128"/>
      <c r="P184" s="63">
        <f>N184*O184</f>
        <v>0</v>
      </c>
      <c r="Q184" s="15"/>
      <c r="R184" s="212"/>
    </row>
    <row r="185" spans="1:18" ht="14.45" customHeight="1">
      <c r="A185" s="236">
        <v>7</v>
      </c>
      <c r="B185" s="377" t="s">
        <v>193</v>
      </c>
      <c r="C185" s="377"/>
      <c r="D185" s="377"/>
      <c r="E185" s="377"/>
      <c r="F185" s="377"/>
      <c r="G185" s="377"/>
      <c r="H185" s="377"/>
      <c r="I185" s="377"/>
      <c r="J185" s="377"/>
      <c r="K185" s="377"/>
      <c r="L185" s="377"/>
      <c r="M185" s="377"/>
      <c r="N185" s="377"/>
      <c r="O185" s="377"/>
      <c r="P185" s="64">
        <f>P186</f>
        <v>39.5</v>
      </c>
      <c r="Q185" s="22"/>
      <c r="R185" s="212" t="s">
        <v>273</v>
      </c>
    </row>
    <row r="186" spans="1:18" ht="22.5">
      <c r="A186" s="128"/>
      <c r="B186" s="8">
        <v>7.5</v>
      </c>
      <c r="C186" s="8" t="s">
        <v>80</v>
      </c>
      <c r="D186" s="8" t="s">
        <v>81</v>
      </c>
      <c r="E186" s="23" t="s">
        <v>626</v>
      </c>
      <c r="F186" s="23" t="s">
        <v>561</v>
      </c>
      <c r="G186" s="8"/>
      <c r="H186" s="8"/>
      <c r="I186" s="8"/>
      <c r="J186" s="8"/>
      <c r="K186" s="8"/>
      <c r="L186" s="103"/>
      <c r="M186" s="103"/>
      <c r="N186" s="103"/>
      <c r="O186" s="103"/>
      <c r="P186" s="66">
        <f>P187+P27+P28+P189+P190</f>
        <v>39.5</v>
      </c>
      <c r="Q186" s="8"/>
      <c r="R186" s="212"/>
    </row>
    <row r="187" spans="1:18" s="144" customFormat="1" ht="25.5">
      <c r="A187" s="35"/>
      <c r="B187" s="151" t="s">
        <v>330</v>
      </c>
      <c r="C187" s="166" t="s">
        <v>331</v>
      </c>
      <c r="D187" s="227" t="s">
        <v>332</v>
      </c>
      <c r="E187" s="48"/>
      <c r="F187" s="48"/>
      <c r="G187" s="48"/>
      <c r="H187" s="48"/>
      <c r="I187" s="269">
        <v>30</v>
      </c>
      <c r="J187" s="269">
        <v>16.59</v>
      </c>
      <c r="K187" s="48"/>
      <c r="L187" s="98" t="s">
        <v>495</v>
      </c>
      <c r="M187" s="10">
        <v>750</v>
      </c>
      <c r="N187" s="35">
        <f>M187/100000</f>
        <v>7.4999999999999997E-3</v>
      </c>
      <c r="O187" s="167">
        <v>3000</v>
      </c>
      <c r="P187" s="60">
        <f>O187*N187</f>
        <v>22.5</v>
      </c>
      <c r="Q187" s="48"/>
      <c r="R187" s="214"/>
    </row>
    <row r="188" spans="1:18" s="144" customFormat="1">
      <c r="A188" s="35"/>
      <c r="B188" s="151" t="s">
        <v>333</v>
      </c>
      <c r="C188" s="166"/>
      <c r="D188" s="191" t="s">
        <v>328</v>
      </c>
      <c r="E188" s="48"/>
      <c r="F188" s="48"/>
      <c r="G188" s="48"/>
      <c r="H188" s="48"/>
      <c r="I188" s="48"/>
      <c r="J188" s="48"/>
      <c r="K188" s="48"/>
      <c r="L188" s="98"/>
      <c r="M188" s="167"/>
      <c r="N188" s="35"/>
      <c r="O188" s="167"/>
      <c r="P188" s="61">
        <f>P189+P190</f>
        <v>17</v>
      </c>
      <c r="Q188" s="48"/>
      <c r="R188" s="214"/>
    </row>
    <row r="189" spans="1:18" s="144" customFormat="1" ht="60">
      <c r="A189" s="35"/>
      <c r="B189" s="34"/>
      <c r="C189" s="34"/>
      <c r="D189" s="34" t="s">
        <v>433</v>
      </c>
      <c r="E189" s="34"/>
      <c r="F189" s="34"/>
      <c r="G189" s="34"/>
      <c r="H189" s="34"/>
      <c r="I189" s="34"/>
      <c r="J189" s="34"/>
      <c r="K189" s="34"/>
      <c r="L189" s="35" t="s">
        <v>497</v>
      </c>
      <c r="M189" s="125">
        <v>500</v>
      </c>
      <c r="N189" s="35">
        <f>M189/100000</f>
        <v>5.0000000000000001E-3</v>
      </c>
      <c r="O189" s="125">
        <v>1000</v>
      </c>
      <c r="P189" s="60">
        <f t="shared" ref="P189" si="33">O189*N189</f>
        <v>5</v>
      </c>
      <c r="Q189" s="269" t="s">
        <v>651</v>
      </c>
      <c r="R189" s="220"/>
    </row>
    <row r="190" spans="1:18" ht="50.45" customHeight="1">
      <c r="A190" s="128"/>
      <c r="B190" s="15"/>
      <c r="C190" s="15"/>
      <c r="D190" s="99" t="s">
        <v>674</v>
      </c>
      <c r="E190" s="15"/>
      <c r="F190" s="15"/>
      <c r="G190" s="15"/>
      <c r="H190" s="15"/>
      <c r="I190" s="15"/>
      <c r="J190" s="15"/>
      <c r="K190" s="15"/>
      <c r="L190" s="10" t="s">
        <v>496</v>
      </c>
      <c r="M190" s="128">
        <v>400</v>
      </c>
      <c r="N190" s="128">
        <f>M190/100000</f>
        <v>4.0000000000000001E-3</v>
      </c>
      <c r="O190" s="128">
        <v>3000</v>
      </c>
      <c r="P190" s="38">
        <f>N190*O190</f>
        <v>12</v>
      </c>
      <c r="Q190" s="269" t="s">
        <v>651</v>
      </c>
      <c r="R190" s="212"/>
    </row>
    <row r="191" spans="1:18" ht="19.5" customHeight="1">
      <c r="A191" s="236">
        <v>8</v>
      </c>
      <c r="B191" s="377" t="s">
        <v>531</v>
      </c>
      <c r="C191" s="377"/>
      <c r="D191" s="377"/>
      <c r="E191" s="377"/>
      <c r="F191" s="377"/>
      <c r="G191" s="377"/>
      <c r="H191" s="377"/>
      <c r="I191" s="377"/>
      <c r="J191" s="377"/>
      <c r="K191" s="377"/>
      <c r="L191" s="377"/>
      <c r="M191" s="377"/>
      <c r="N191" s="377"/>
      <c r="O191" s="377"/>
      <c r="P191" s="64">
        <f>HR!W2</f>
        <v>1377.4398000000001</v>
      </c>
      <c r="Q191" s="22"/>
      <c r="R191" s="221" t="s">
        <v>273</v>
      </c>
    </row>
    <row r="192" spans="1:18" s="34" customFormat="1" ht="19.5" customHeight="1">
      <c r="A192" s="35"/>
      <c r="B192" s="122"/>
      <c r="C192" s="122"/>
      <c r="D192" s="122"/>
      <c r="E192" s="122"/>
      <c r="F192" s="122"/>
      <c r="G192" s="122"/>
      <c r="H192" s="122"/>
      <c r="I192" s="122"/>
      <c r="J192" s="122"/>
      <c r="K192" s="122"/>
      <c r="L192" s="122"/>
      <c r="M192" s="122"/>
      <c r="N192" s="122"/>
      <c r="O192" s="122"/>
      <c r="P192" s="61"/>
      <c r="Q192" s="123"/>
      <c r="R192" s="214"/>
    </row>
    <row r="193" spans="1:18" ht="14.45" customHeight="1">
      <c r="A193" s="236">
        <v>9</v>
      </c>
      <c r="B193" s="377" t="s">
        <v>96</v>
      </c>
      <c r="C193" s="377"/>
      <c r="D193" s="377"/>
      <c r="E193" s="377"/>
      <c r="F193" s="377"/>
      <c r="G193" s="377"/>
      <c r="H193" s="377"/>
      <c r="I193" s="377"/>
      <c r="J193" s="377"/>
      <c r="K193" s="377"/>
      <c r="L193" s="377"/>
      <c r="M193" s="377"/>
      <c r="N193" s="377"/>
      <c r="O193" s="377"/>
      <c r="P193" s="64">
        <f>P195+P198</f>
        <v>10.5</v>
      </c>
      <c r="Q193" s="22"/>
      <c r="R193" s="222" t="s">
        <v>273</v>
      </c>
    </row>
    <row r="194" spans="1:18" s="143" customFormat="1">
      <c r="A194" s="238"/>
      <c r="B194" s="8" t="s">
        <v>595</v>
      </c>
      <c r="C194" s="8" t="s">
        <v>97</v>
      </c>
      <c r="D194" s="8" t="s">
        <v>562</v>
      </c>
      <c r="E194" s="23" t="s">
        <v>626</v>
      </c>
      <c r="F194" s="23" t="s">
        <v>561</v>
      </c>
      <c r="G194" s="32"/>
      <c r="H194" s="32"/>
      <c r="I194" s="32"/>
      <c r="J194" s="32"/>
      <c r="K194" s="32"/>
      <c r="L194" s="29"/>
      <c r="M194" s="9"/>
      <c r="N194" s="9"/>
      <c r="O194" s="9"/>
      <c r="P194" s="62">
        <f>P195+P198+P206</f>
        <v>10.5</v>
      </c>
      <c r="Q194" s="32"/>
      <c r="R194" s="213"/>
    </row>
    <row r="195" spans="1:18" s="157" customFormat="1" ht="25.5">
      <c r="A195" s="134"/>
      <c r="B195" s="192" t="s">
        <v>598</v>
      </c>
      <c r="C195" s="178" t="s">
        <v>97</v>
      </c>
      <c r="D195" s="178" t="s">
        <v>562</v>
      </c>
      <c r="E195" s="178" t="s">
        <v>626</v>
      </c>
      <c r="F195" s="178" t="s">
        <v>561</v>
      </c>
      <c r="G195" s="178"/>
      <c r="H195" s="178"/>
      <c r="I195" s="178"/>
      <c r="J195" s="178"/>
      <c r="K195" s="178"/>
      <c r="L195" s="182"/>
      <c r="M195" s="182"/>
      <c r="N195" s="182"/>
      <c r="O195" s="182"/>
      <c r="P195" s="185">
        <f>P196+P197</f>
        <v>9.3000000000000007</v>
      </c>
      <c r="Q195" s="178"/>
      <c r="R195" s="215"/>
    </row>
    <row r="196" spans="1:18" ht="49.9" customHeight="1">
      <c r="A196" s="128"/>
      <c r="B196" s="15"/>
      <c r="C196" s="15"/>
      <c r="D196" s="15" t="s">
        <v>98</v>
      </c>
      <c r="E196" s="15"/>
      <c r="F196" s="15"/>
      <c r="G196" s="15"/>
      <c r="H196" s="15"/>
      <c r="I196" s="15">
        <v>20</v>
      </c>
      <c r="J196" s="15">
        <v>11.39</v>
      </c>
      <c r="K196" s="15"/>
      <c r="L196" s="128" t="s">
        <v>500</v>
      </c>
      <c r="M196" s="128">
        <v>5000</v>
      </c>
      <c r="N196" s="38">
        <f>M196/100000</f>
        <v>0.05</v>
      </c>
      <c r="O196" s="128">
        <v>100</v>
      </c>
      <c r="P196" s="38">
        <f>N196*O196</f>
        <v>5</v>
      </c>
      <c r="Q196" s="15" t="s">
        <v>675</v>
      </c>
      <c r="R196" s="212"/>
    </row>
    <row r="197" spans="1:18" ht="19.5" customHeight="1">
      <c r="A197" s="128"/>
      <c r="B197" s="15"/>
      <c r="C197" s="15"/>
      <c r="D197" s="15" t="s">
        <v>48</v>
      </c>
      <c r="E197" s="15"/>
      <c r="F197" s="15"/>
      <c r="G197" s="15"/>
      <c r="H197" s="15"/>
      <c r="I197" s="15"/>
      <c r="J197" s="15"/>
      <c r="K197" s="15"/>
      <c r="L197" s="128" t="s">
        <v>500</v>
      </c>
      <c r="M197" s="128">
        <v>5000</v>
      </c>
      <c r="N197" s="38">
        <f>M197/100000</f>
        <v>0.05</v>
      </c>
      <c r="O197" s="128">
        <v>86</v>
      </c>
      <c r="P197" s="38">
        <f>N197*O197</f>
        <v>4.3</v>
      </c>
      <c r="Q197" s="15" t="s">
        <v>651</v>
      </c>
      <c r="R197" s="212"/>
    </row>
    <row r="198" spans="1:18" s="157" customFormat="1" ht="25.5">
      <c r="A198" s="134"/>
      <c r="B198" s="192" t="s">
        <v>597</v>
      </c>
      <c r="C198" s="178" t="s">
        <v>99</v>
      </c>
      <c r="D198" s="178" t="s">
        <v>100</v>
      </c>
      <c r="E198" s="178" t="s">
        <v>626</v>
      </c>
      <c r="F198" s="178" t="s">
        <v>561</v>
      </c>
      <c r="G198" s="178"/>
      <c r="H198" s="178"/>
      <c r="I198" s="178"/>
      <c r="J198" s="178"/>
      <c r="K198" s="178"/>
      <c r="L198" s="182"/>
      <c r="M198" s="182"/>
      <c r="N198" s="182"/>
      <c r="O198" s="182"/>
      <c r="P198" s="180">
        <f>P199+P200+P201+P202+P203+P204+P205</f>
        <v>1.2</v>
      </c>
      <c r="Q198" s="178"/>
      <c r="R198" s="215"/>
    </row>
    <row r="199" spans="1:18">
      <c r="A199" s="128"/>
      <c r="B199" s="15"/>
      <c r="C199" s="15"/>
      <c r="D199" s="15" t="s">
        <v>101</v>
      </c>
      <c r="E199" s="15"/>
      <c r="F199" s="15"/>
      <c r="G199" s="15"/>
      <c r="H199" s="15"/>
      <c r="I199" s="15"/>
      <c r="J199" s="15"/>
      <c r="K199" s="15"/>
      <c r="L199" s="128" t="s">
        <v>500</v>
      </c>
      <c r="M199" s="242">
        <v>20000</v>
      </c>
      <c r="N199" s="128">
        <f>M199/100000</f>
        <v>0.2</v>
      </c>
      <c r="O199" s="242">
        <v>5</v>
      </c>
      <c r="P199" s="38">
        <f>O199*N199</f>
        <v>1</v>
      </c>
      <c r="Q199" s="15" t="s">
        <v>651</v>
      </c>
      <c r="R199" s="212"/>
    </row>
    <row r="200" spans="1:18" ht="30.6" customHeight="1">
      <c r="A200" s="128"/>
      <c r="B200" s="15"/>
      <c r="C200" s="15"/>
      <c r="D200" s="15" t="s">
        <v>102</v>
      </c>
      <c r="E200" s="15"/>
      <c r="F200" s="15"/>
      <c r="G200" s="15"/>
      <c r="H200" s="15"/>
      <c r="I200" s="15"/>
      <c r="J200" s="15"/>
      <c r="K200" s="15"/>
      <c r="L200" s="128" t="s">
        <v>500</v>
      </c>
      <c r="M200" s="242"/>
      <c r="N200" s="128">
        <f>M200/100000</f>
        <v>0</v>
      </c>
      <c r="O200" s="242">
        <v>0</v>
      </c>
      <c r="P200" s="38">
        <f>N200*O200</f>
        <v>0</v>
      </c>
      <c r="Q200" s="15" t="s">
        <v>651</v>
      </c>
      <c r="R200" s="212"/>
    </row>
    <row r="201" spans="1:18" ht="23.45" customHeight="1">
      <c r="A201" s="128"/>
      <c r="B201" s="15"/>
      <c r="C201" s="15"/>
      <c r="D201" s="15" t="s">
        <v>103</v>
      </c>
      <c r="E201" s="15"/>
      <c r="F201" s="15"/>
      <c r="G201" s="15"/>
      <c r="H201" s="15"/>
      <c r="I201" s="15"/>
      <c r="J201" s="15"/>
      <c r="K201" s="15"/>
      <c r="L201" s="128" t="s">
        <v>500</v>
      </c>
      <c r="M201" s="128"/>
      <c r="N201" s="128">
        <f t="shared" ref="N201:N204" si="34">M201/100000</f>
        <v>0</v>
      </c>
      <c r="O201" s="128"/>
      <c r="P201" s="38">
        <f t="shared" ref="P201:P204" si="35">N201*O201</f>
        <v>0</v>
      </c>
      <c r="Q201" s="27"/>
      <c r="R201" s="212"/>
    </row>
    <row r="202" spans="1:18" ht="24.75" customHeight="1">
      <c r="A202" s="128"/>
      <c r="B202" s="15"/>
      <c r="C202" s="15"/>
      <c r="D202" s="15" t="s">
        <v>104</v>
      </c>
      <c r="E202" s="15"/>
      <c r="F202" s="15"/>
      <c r="G202" s="15"/>
      <c r="H202" s="15"/>
      <c r="I202" s="15"/>
      <c r="J202" s="15"/>
      <c r="K202" s="15"/>
      <c r="L202" s="128" t="s">
        <v>500</v>
      </c>
      <c r="M202" s="128"/>
      <c r="N202" s="128">
        <f t="shared" si="34"/>
        <v>0</v>
      </c>
      <c r="O202" s="128"/>
      <c r="P202" s="38">
        <f t="shared" si="35"/>
        <v>0</v>
      </c>
      <c r="Q202" s="15"/>
      <c r="R202" s="212"/>
    </row>
    <row r="203" spans="1:18" ht="30">
      <c r="A203" s="128"/>
      <c r="B203" s="15"/>
      <c r="C203" s="15"/>
      <c r="D203" s="27" t="s">
        <v>194</v>
      </c>
      <c r="E203" s="15"/>
      <c r="F203" s="15"/>
      <c r="G203" s="15"/>
      <c r="H203" s="15"/>
      <c r="I203" s="15"/>
      <c r="J203" s="15"/>
      <c r="K203" s="15"/>
      <c r="L203" s="128" t="s">
        <v>502</v>
      </c>
      <c r="M203" s="128"/>
      <c r="N203" s="128">
        <f t="shared" si="34"/>
        <v>0</v>
      </c>
      <c r="O203" s="128"/>
      <c r="P203" s="38">
        <f t="shared" si="35"/>
        <v>0</v>
      </c>
      <c r="Q203" s="15"/>
      <c r="R203" s="212"/>
    </row>
    <row r="204" spans="1:18" ht="76.150000000000006" customHeight="1">
      <c r="A204" s="128"/>
      <c r="B204" s="15"/>
      <c r="C204" s="15"/>
      <c r="D204" s="15" t="s">
        <v>105</v>
      </c>
      <c r="E204" s="15"/>
      <c r="F204" s="15"/>
      <c r="G204" s="15"/>
      <c r="H204" s="15"/>
      <c r="I204" s="15"/>
      <c r="J204" s="15"/>
      <c r="K204" s="15"/>
      <c r="L204" s="128" t="s">
        <v>501</v>
      </c>
      <c r="M204" s="242">
        <v>10000</v>
      </c>
      <c r="N204" s="128">
        <f t="shared" si="34"/>
        <v>0.1</v>
      </c>
      <c r="O204" s="128">
        <v>2</v>
      </c>
      <c r="P204" s="38">
        <f t="shared" si="35"/>
        <v>0.2</v>
      </c>
      <c r="Q204" s="15" t="s">
        <v>651</v>
      </c>
      <c r="R204" s="212"/>
    </row>
    <row r="205" spans="1:18">
      <c r="A205" s="128"/>
      <c r="B205" s="15"/>
      <c r="C205" s="15"/>
      <c r="D205" s="15"/>
      <c r="E205" s="15"/>
      <c r="F205" s="15"/>
      <c r="G205" s="15"/>
      <c r="H205" s="15"/>
      <c r="I205" s="15"/>
      <c r="J205" s="15"/>
      <c r="K205" s="15"/>
      <c r="L205" s="128"/>
      <c r="M205" s="128"/>
      <c r="N205" s="128"/>
      <c r="O205" s="128"/>
      <c r="P205" s="38"/>
      <c r="Q205" s="15"/>
      <c r="R205" s="212"/>
    </row>
    <row r="206" spans="1:18" s="157" customFormat="1" ht="25.5">
      <c r="A206" s="134"/>
      <c r="B206" s="192" t="s">
        <v>596</v>
      </c>
      <c r="C206" s="193"/>
      <c r="D206" s="192" t="s">
        <v>79</v>
      </c>
      <c r="E206" s="133" t="s">
        <v>626</v>
      </c>
      <c r="F206" s="133" t="s">
        <v>561</v>
      </c>
      <c r="G206" s="133"/>
      <c r="H206" s="133"/>
      <c r="I206" s="133"/>
      <c r="J206" s="133"/>
      <c r="K206" s="133"/>
      <c r="L206" s="134"/>
      <c r="M206" s="134"/>
      <c r="N206" s="134"/>
      <c r="O206" s="134"/>
      <c r="P206" s="179">
        <f>P207</f>
        <v>0</v>
      </c>
      <c r="Q206" s="133"/>
      <c r="R206" s="215"/>
    </row>
    <row r="207" spans="1:18" s="144" customFormat="1">
      <c r="A207" s="35"/>
      <c r="B207" s="228"/>
      <c r="C207" s="229"/>
      <c r="D207" s="228"/>
      <c r="E207" s="34"/>
      <c r="F207" s="34"/>
      <c r="G207" s="34"/>
      <c r="H207" s="34"/>
      <c r="I207" s="34"/>
      <c r="J207" s="34"/>
      <c r="K207" s="34"/>
      <c r="L207" s="35"/>
      <c r="M207" s="35"/>
      <c r="N207" s="35">
        <f>M207/100000</f>
        <v>0</v>
      </c>
      <c r="O207" s="35"/>
      <c r="P207" s="75">
        <f>N207*O207</f>
        <v>0</v>
      </c>
      <c r="Q207" s="34"/>
      <c r="R207" s="214"/>
    </row>
    <row r="208" spans="1:18" ht="14.45" customHeight="1">
      <c r="A208" s="236">
        <v>10</v>
      </c>
      <c r="B208" s="377" t="s">
        <v>106</v>
      </c>
      <c r="C208" s="377"/>
      <c r="D208" s="377"/>
      <c r="E208" s="377"/>
      <c r="F208" s="377"/>
      <c r="G208" s="377"/>
      <c r="H208" s="377"/>
      <c r="I208" s="377"/>
      <c r="J208" s="377"/>
      <c r="K208" s="377"/>
      <c r="L208" s="377"/>
      <c r="M208" s="377"/>
      <c r="N208" s="377"/>
      <c r="O208" s="377"/>
      <c r="P208" s="64">
        <f>P209+P214+P217</f>
        <v>11</v>
      </c>
      <c r="Q208" s="22"/>
      <c r="R208" s="212" t="s">
        <v>273</v>
      </c>
    </row>
    <row r="209" spans="1:18" ht="22.5">
      <c r="A209" s="128"/>
      <c r="B209" s="8" t="s">
        <v>107</v>
      </c>
      <c r="C209" s="8" t="s">
        <v>108</v>
      </c>
      <c r="D209" s="8" t="s">
        <v>109</v>
      </c>
      <c r="E209" s="23" t="s">
        <v>626</v>
      </c>
      <c r="F209" s="23" t="s">
        <v>561</v>
      </c>
      <c r="G209" s="8"/>
      <c r="H209" s="8"/>
      <c r="I209" s="15">
        <v>6</v>
      </c>
      <c r="J209" s="15">
        <v>2.7</v>
      </c>
      <c r="K209" s="8"/>
      <c r="L209" s="103"/>
      <c r="M209" s="103"/>
      <c r="N209" s="103"/>
      <c r="O209" s="103"/>
      <c r="P209" s="65">
        <f>P211+P213</f>
        <v>2</v>
      </c>
      <c r="Q209" s="8"/>
      <c r="R209" s="212"/>
    </row>
    <row r="210" spans="1:18">
      <c r="A210" s="128"/>
      <c r="B210" s="15"/>
      <c r="C210" s="15"/>
      <c r="D210" s="111" t="s">
        <v>48</v>
      </c>
      <c r="E210" s="112"/>
      <c r="F210" s="112"/>
      <c r="G210" s="112"/>
      <c r="H210" s="112"/>
      <c r="I210" s="112"/>
      <c r="J210" s="112"/>
      <c r="K210" s="112"/>
      <c r="L210" s="127"/>
      <c r="M210" s="127"/>
      <c r="N210" s="127"/>
      <c r="O210" s="127"/>
      <c r="P210" s="113"/>
      <c r="Q210" s="15"/>
      <c r="R210" s="212"/>
    </row>
    <row r="211" spans="1:18" ht="30">
      <c r="A211" s="128"/>
      <c r="B211" s="15"/>
      <c r="C211" s="15"/>
      <c r="D211" s="15" t="s">
        <v>110</v>
      </c>
      <c r="E211" s="15"/>
      <c r="F211" s="15"/>
      <c r="G211" s="15"/>
      <c r="H211" s="15"/>
      <c r="I211" s="15"/>
      <c r="J211" s="15"/>
      <c r="K211" s="15"/>
      <c r="L211" s="128" t="s">
        <v>503</v>
      </c>
      <c r="M211" s="128"/>
      <c r="N211" s="128">
        <f>M211/100000</f>
        <v>0</v>
      </c>
      <c r="O211" s="128"/>
      <c r="P211" s="38">
        <f>N211*O211</f>
        <v>0</v>
      </c>
      <c r="Q211" s="34"/>
      <c r="R211" s="212"/>
    </row>
    <row r="212" spans="1:18">
      <c r="A212" s="128"/>
      <c r="B212" s="15"/>
      <c r="C212" s="15"/>
      <c r="D212" s="111" t="s">
        <v>37</v>
      </c>
      <c r="E212" s="112"/>
      <c r="F212" s="112"/>
      <c r="G212" s="112"/>
      <c r="H212" s="112"/>
      <c r="I212" s="112"/>
      <c r="J212" s="112"/>
      <c r="K212" s="112"/>
      <c r="L212" s="127"/>
      <c r="M212" s="127"/>
      <c r="N212" s="127"/>
      <c r="O212" s="127"/>
      <c r="P212" s="113"/>
      <c r="Q212" s="15"/>
      <c r="R212" s="212"/>
    </row>
    <row r="213" spans="1:18" ht="34.5" customHeight="1">
      <c r="A213" s="128"/>
      <c r="B213" s="15"/>
      <c r="C213" s="15"/>
      <c r="D213" s="15" t="s">
        <v>111</v>
      </c>
      <c r="E213" s="15"/>
      <c r="F213" s="15"/>
      <c r="G213" s="15"/>
      <c r="H213" s="15"/>
      <c r="I213" s="15"/>
      <c r="J213" s="15"/>
      <c r="K213" s="15"/>
      <c r="L213" s="128" t="s">
        <v>503</v>
      </c>
      <c r="M213" s="128">
        <v>200000</v>
      </c>
      <c r="N213" s="128">
        <f>M213/100000</f>
        <v>2</v>
      </c>
      <c r="O213" s="128">
        <v>1</v>
      </c>
      <c r="P213" s="38">
        <f>N213*O213</f>
        <v>2</v>
      </c>
      <c r="Q213" s="15" t="s">
        <v>676</v>
      </c>
      <c r="R213" s="212"/>
    </row>
    <row r="214" spans="1:18">
      <c r="A214" s="128"/>
      <c r="B214" s="8" t="s">
        <v>112</v>
      </c>
      <c r="C214" s="8" t="s">
        <v>99</v>
      </c>
      <c r="D214" s="8" t="s">
        <v>113</v>
      </c>
      <c r="E214" s="23" t="s">
        <v>626</v>
      </c>
      <c r="F214" s="23" t="s">
        <v>561</v>
      </c>
      <c r="G214" s="8"/>
      <c r="H214" s="8"/>
      <c r="I214" s="8"/>
      <c r="J214" s="8"/>
      <c r="K214" s="8"/>
      <c r="L214" s="103"/>
      <c r="M214" s="103"/>
      <c r="N214" s="103"/>
      <c r="O214" s="103"/>
      <c r="P214" s="66">
        <f>P215+P216</f>
        <v>3</v>
      </c>
      <c r="Q214" s="8"/>
      <c r="R214" s="212"/>
    </row>
    <row r="215" spans="1:18">
      <c r="A215" s="128"/>
      <c r="B215" s="15"/>
      <c r="C215" s="15"/>
      <c r="D215" s="15" t="s">
        <v>114</v>
      </c>
      <c r="E215" s="15"/>
      <c r="F215" s="15"/>
      <c r="G215" s="15"/>
      <c r="H215" s="15"/>
      <c r="I215" s="15"/>
      <c r="J215" s="15"/>
      <c r="K215" s="15"/>
      <c r="L215" s="128" t="s">
        <v>504</v>
      </c>
      <c r="M215" s="128">
        <v>30000</v>
      </c>
      <c r="N215" s="128">
        <f t="shared" ref="N215:N216" si="36">M215/100000</f>
        <v>0.3</v>
      </c>
      <c r="O215" s="128">
        <v>10</v>
      </c>
      <c r="P215" s="38">
        <f t="shared" ref="P215:P216" si="37">N215*O215</f>
        <v>3</v>
      </c>
      <c r="Q215" s="34" t="s">
        <v>677</v>
      </c>
      <c r="R215" s="212"/>
    </row>
    <row r="216" spans="1:18">
      <c r="A216" s="128"/>
      <c r="B216" s="15"/>
      <c r="C216" s="15"/>
      <c r="D216" s="15" t="s">
        <v>115</v>
      </c>
      <c r="E216" s="15"/>
      <c r="F216" s="15"/>
      <c r="G216" s="15"/>
      <c r="H216" s="15"/>
      <c r="I216" s="15"/>
      <c r="J216" s="15"/>
      <c r="K216" s="15"/>
      <c r="L216" s="128" t="s">
        <v>505</v>
      </c>
      <c r="M216" s="128"/>
      <c r="N216" s="128">
        <f t="shared" si="36"/>
        <v>0</v>
      </c>
      <c r="O216" s="128"/>
      <c r="P216" s="38">
        <f t="shared" si="37"/>
        <v>0</v>
      </c>
      <c r="Q216" s="34"/>
      <c r="R216" s="212"/>
    </row>
    <row r="217" spans="1:18" s="143" customFormat="1" ht="22.5">
      <c r="A217" s="35"/>
      <c r="B217" s="116">
        <v>10.5</v>
      </c>
      <c r="C217" s="168"/>
      <c r="D217" s="8" t="s">
        <v>341</v>
      </c>
      <c r="E217" s="23" t="s">
        <v>626</v>
      </c>
      <c r="F217" s="23" t="s">
        <v>561</v>
      </c>
      <c r="G217" s="32"/>
      <c r="H217" s="32"/>
      <c r="I217" s="32"/>
      <c r="J217" s="32"/>
      <c r="K217" s="32"/>
      <c r="L217" s="29"/>
      <c r="M217" s="29"/>
      <c r="N217" s="29"/>
      <c r="O217" s="29"/>
      <c r="P217" s="196">
        <f>P218</f>
        <v>6</v>
      </c>
      <c r="Q217" s="32"/>
      <c r="R217" s="213"/>
    </row>
    <row r="218" spans="1:18">
      <c r="A218" s="128"/>
      <c r="B218" s="169" t="s">
        <v>342</v>
      </c>
      <c r="C218" s="170"/>
      <c r="D218" s="170" t="s">
        <v>343</v>
      </c>
      <c r="E218" s="15"/>
      <c r="F218" s="15"/>
      <c r="G218" s="15"/>
      <c r="H218" s="15"/>
      <c r="I218" s="15"/>
      <c r="J218" s="15"/>
      <c r="K218" s="15"/>
      <c r="L218" s="128"/>
      <c r="M218" s="128"/>
      <c r="N218" s="128"/>
      <c r="O218" s="128"/>
      <c r="P218" s="194">
        <f>SUM(P219:P222)</f>
        <v>6</v>
      </c>
      <c r="Q218" s="15"/>
      <c r="R218" s="212"/>
    </row>
    <row r="219" spans="1:18" ht="45">
      <c r="A219" s="128"/>
      <c r="B219" s="169"/>
      <c r="C219" s="170"/>
      <c r="D219" s="170" t="s">
        <v>599</v>
      </c>
      <c r="E219" s="15"/>
      <c r="F219" s="15"/>
      <c r="G219" s="15"/>
      <c r="H219" s="15"/>
      <c r="I219" s="15"/>
      <c r="J219" s="15"/>
      <c r="K219" s="15"/>
      <c r="L219" s="128" t="s">
        <v>506</v>
      </c>
      <c r="M219" s="128">
        <v>200000</v>
      </c>
      <c r="N219" s="128">
        <f t="shared" ref="N219:N222" si="38">M219/100000</f>
        <v>2</v>
      </c>
      <c r="O219" s="128">
        <v>3</v>
      </c>
      <c r="P219" s="195">
        <f>N219*O219</f>
        <v>6</v>
      </c>
      <c r="Q219" s="15" t="s">
        <v>678</v>
      </c>
      <c r="R219" s="212"/>
    </row>
    <row r="220" spans="1:18">
      <c r="A220" s="128"/>
      <c r="B220" s="169"/>
      <c r="C220" s="170"/>
      <c r="D220" s="170" t="s">
        <v>600</v>
      </c>
      <c r="E220" s="15"/>
      <c r="F220" s="15"/>
      <c r="G220" s="15"/>
      <c r="H220" s="15"/>
      <c r="I220" s="15"/>
      <c r="J220" s="15"/>
      <c r="K220" s="15"/>
      <c r="L220" s="128" t="s">
        <v>506</v>
      </c>
      <c r="M220" s="128">
        <v>500000</v>
      </c>
      <c r="N220" s="128">
        <f t="shared" si="38"/>
        <v>5</v>
      </c>
      <c r="O220" s="128"/>
      <c r="P220" s="195">
        <f t="shared" ref="P220:P222" si="39">N220*O220</f>
        <v>0</v>
      </c>
      <c r="Q220" s="15"/>
      <c r="R220" s="212"/>
    </row>
    <row r="221" spans="1:18">
      <c r="A221" s="128"/>
      <c r="B221" s="169"/>
      <c r="C221" s="170"/>
      <c r="D221" s="170" t="s">
        <v>601</v>
      </c>
      <c r="E221" s="15"/>
      <c r="F221" s="15"/>
      <c r="G221" s="15"/>
      <c r="H221" s="15"/>
      <c r="I221" s="15"/>
      <c r="J221" s="15"/>
      <c r="K221" s="15"/>
      <c r="L221" s="128" t="s">
        <v>506</v>
      </c>
      <c r="M221" s="128">
        <v>300000</v>
      </c>
      <c r="N221" s="128">
        <f t="shared" si="38"/>
        <v>3</v>
      </c>
      <c r="O221" s="128"/>
      <c r="P221" s="195">
        <f t="shared" si="39"/>
        <v>0</v>
      </c>
      <c r="Q221" s="15"/>
      <c r="R221" s="212"/>
    </row>
    <row r="222" spans="1:18">
      <c r="A222" s="128"/>
      <c r="B222" s="169"/>
      <c r="C222" s="170"/>
      <c r="D222" s="170" t="s">
        <v>602</v>
      </c>
      <c r="E222" s="15"/>
      <c r="F222" s="15"/>
      <c r="G222" s="15"/>
      <c r="H222" s="15"/>
      <c r="I222" s="15"/>
      <c r="J222" s="15"/>
      <c r="K222" s="15"/>
      <c r="L222" s="128" t="s">
        <v>506</v>
      </c>
      <c r="M222" s="128">
        <v>200000</v>
      </c>
      <c r="N222" s="128">
        <f t="shared" si="38"/>
        <v>2</v>
      </c>
      <c r="O222" s="128"/>
      <c r="P222" s="195">
        <f t="shared" si="39"/>
        <v>0</v>
      </c>
      <c r="Q222" s="15"/>
      <c r="R222" s="212"/>
    </row>
    <row r="223" spans="1:18">
      <c r="A223" s="236">
        <v>11</v>
      </c>
      <c r="B223" s="377" t="s">
        <v>116</v>
      </c>
      <c r="C223" s="377"/>
      <c r="D223" s="377"/>
      <c r="E223" s="377"/>
      <c r="F223" s="377"/>
      <c r="G223" s="377"/>
      <c r="H223" s="377"/>
      <c r="I223" s="377"/>
      <c r="J223" s="377"/>
      <c r="K223" s="377"/>
      <c r="L223" s="377"/>
      <c r="M223" s="377"/>
      <c r="N223" s="377"/>
      <c r="O223" s="377"/>
      <c r="P223" s="64">
        <f>P225+P228+P231</f>
        <v>15.3</v>
      </c>
      <c r="Q223" s="22"/>
      <c r="R223" s="212" t="s">
        <v>273</v>
      </c>
    </row>
    <row r="224" spans="1:18" s="143" customFormat="1">
      <c r="A224" s="29"/>
      <c r="B224" s="120" t="s">
        <v>603</v>
      </c>
      <c r="C224" s="120"/>
      <c r="D224" s="120"/>
      <c r="E224" s="23" t="s">
        <v>626</v>
      </c>
      <c r="F224" s="23" t="s">
        <v>561</v>
      </c>
      <c r="G224" s="120"/>
      <c r="H224" s="120"/>
      <c r="I224" s="120"/>
      <c r="J224" s="120"/>
      <c r="K224" s="120"/>
      <c r="L224" s="120"/>
      <c r="M224" s="120"/>
      <c r="N224" s="120"/>
      <c r="O224" s="120"/>
      <c r="P224" s="62">
        <f>P225+P228+P231</f>
        <v>15.3</v>
      </c>
      <c r="Q224" s="31"/>
      <c r="R224" s="213"/>
    </row>
    <row r="225" spans="1:18" s="157" customFormat="1" ht="22.5">
      <c r="A225" s="134"/>
      <c r="B225" s="178" t="s">
        <v>604</v>
      </c>
      <c r="C225" s="178" t="s">
        <v>117</v>
      </c>
      <c r="D225" s="178" t="s">
        <v>118</v>
      </c>
      <c r="E225" s="178" t="s">
        <v>626</v>
      </c>
      <c r="F225" s="178" t="s">
        <v>561</v>
      </c>
      <c r="G225" s="178"/>
      <c r="H225" s="178"/>
      <c r="I225" s="178"/>
      <c r="J225" s="178"/>
      <c r="K225" s="178"/>
      <c r="L225" s="182"/>
      <c r="M225" s="182"/>
      <c r="N225" s="182"/>
      <c r="O225" s="182"/>
      <c r="P225" s="180">
        <f>P226+P227</f>
        <v>8.8000000000000007</v>
      </c>
      <c r="Q225" s="178"/>
      <c r="R225" s="215"/>
    </row>
    <row r="226" spans="1:18" ht="44.25" customHeight="1">
      <c r="A226" s="128"/>
      <c r="B226" s="15"/>
      <c r="C226" s="15"/>
      <c r="D226" s="33" t="s">
        <v>37</v>
      </c>
      <c r="E226" s="33"/>
      <c r="F226" s="33"/>
      <c r="G226" s="33"/>
      <c r="H226" s="33"/>
      <c r="I226" s="270">
        <v>2</v>
      </c>
      <c r="J226" s="270">
        <v>4.74</v>
      </c>
      <c r="K226" s="33"/>
      <c r="L226" s="25" t="s">
        <v>507</v>
      </c>
      <c r="M226" s="271">
        <v>100000</v>
      </c>
      <c r="N226" s="25">
        <f>M226/100000</f>
        <v>1</v>
      </c>
      <c r="O226" s="271">
        <v>1</v>
      </c>
      <c r="P226" s="68">
        <f>N226*O226</f>
        <v>1</v>
      </c>
      <c r="Q226" s="272" t="s">
        <v>651</v>
      </c>
      <c r="R226" s="212"/>
    </row>
    <row r="227" spans="1:18" ht="51.6" customHeight="1">
      <c r="A227" s="128"/>
      <c r="B227" s="15"/>
      <c r="C227" s="15"/>
      <c r="D227" s="15" t="s">
        <v>48</v>
      </c>
      <c r="E227" s="15"/>
      <c r="F227" s="15"/>
      <c r="G227" s="15"/>
      <c r="H227" s="15"/>
      <c r="I227" s="15"/>
      <c r="J227" s="15"/>
      <c r="K227" s="15"/>
      <c r="L227" s="25" t="s">
        <v>507</v>
      </c>
      <c r="M227" s="242">
        <v>60000</v>
      </c>
      <c r="N227" s="128">
        <f>M227/100000</f>
        <v>0.6</v>
      </c>
      <c r="O227" s="242">
        <v>13</v>
      </c>
      <c r="P227" s="38">
        <f>N227*O227</f>
        <v>7.8</v>
      </c>
      <c r="Q227" s="272" t="s">
        <v>651</v>
      </c>
      <c r="R227" s="212"/>
    </row>
    <row r="228" spans="1:18" s="177" customFormat="1" ht="25.5">
      <c r="A228" s="132"/>
      <c r="B228" s="178" t="s">
        <v>605</v>
      </c>
      <c r="C228" s="197"/>
      <c r="D228" s="198" t="s">
        <v>344</v>
      </c>
      <c r="E228" s="131" t="s">
        <v>626</v>
      </c>
      <c r="F228" s="131" t="s">
        <v>561</v>
      </c>
      <c r="G228" s="131"/>
      <c r="H228" s="131"/>
      <c r="I228" s="131"/>
      <c r="J228" s="131"/>
      <c r="K228" s="131"/>
      <c r="L228" s="132"/>
      <c r="M228" s="132"/>
      <c r="N228" s="132"/>
      <c r="O228" s="132"/>
      <c r="P228" s="179">
        <f>P229+P230</f>
        <v>6.5</v>
      </c>
      <c r="Q228" s="131"/>
      <c r="R228" s="218"/>
    </row>
    <row r="229" spans="1:18" s="144" customFormat="1">
      <c r="A229" s="35"/>
      <c r="B229" s="230"/>
      <c r="C229" s="231"/>
      <c r="D229" s="232" t="s">
        <v>37</v>
      </c>
      <c r="E229" s="34"/>
      <c r="F229" s="34"/>
      <c r="G229" s="34"/>
      <c r="H229" s="34"/>
      <c r="I229" s="34"/>
      <c r="J229" s="34"/>
      <c r="K229" s="34"/>
      <c r="L229" s="25" t="s">
        <v>507</v>
      </c>
      <c r="M229" s="35"/>
      <c r="N229" s="35">
        <f t="shared" ref="N229:N230" si="40">M229/100000</f>
        <v>0</v>
      </c>
      <c r="O229" s="35"/>
      <c r="P229" s="199">
        <f t="shared" ref="P229:P230" si="41">N229*O229</f>
        <v>0</v>
      </c>
      <c r="Q229" s="34"/>
      <c r="R229" s="214"/>
    </row>
    <row r="230" spans="1:18">
      <c r="A230" s="128"/>
      <c r="B230" s="15"/>
      <c r="C230" s="15"/>
      <c r="D230" s="232" t="s">
        <v>48</v>
      </c>
      <c r="E230" s="15"/>
      <c r="F230" s="15"/>
      <c r="G230" s="15"/>
      <c r="H230" s="15"/>
      <c r="I230" s="15"/>
      <c r="J230" s="15"/>
      <c r="K230" s="15"/>
      <c r="L230" s="25" t="s">
        <v>507</v>
      </c>
      <c r="M230" s="273">
        <v>50000</v>
      </c>
      <c r="N230" s="128">
        <f t="shared" si="40"/>
        <v>0.5</v>
      </c>
      <c r="O230" s="128">
        <v>13</v>
      </c>
      <c r="P230" s="195">
        <f t="shared" si="41"/>
        <v>6.5</v>
      </c>
      <c r="Q230" s="15" t="s">
        <v>679</v>
      </c>
      <c r="R230" s="212"/>
    </row>
    <row r="231" spans="1:18" s="177" customFormat="1" ht="25.5">
      <c r="A231" s="132"/>
      <c r="B231" s="178" t="s">
        <v>606</v>
      </c>
      <c r="C231" s="197"/>
      <c r="D231" s="155" t="s">
        <v>345</v>
      </c>
      <c r="E231" s="131" t="s">
        <v>626</v>
      </c>
      <c r="F231" s="131" t="s">
        <v>561</v>
      </c>
      <c r="G231" s="131"/>
      <c r="H231" s="131"/>
      <c r="I231" s="131"/>
      <c r="J231" s="131"/>
      <c r="K231" s="131"/>
      <c r="L231" s="132"/>
      <c r="M231" s="132"/>
      <c r="N231" s="132"/>
      <c r="O231" s="132"/>
      <c r="P231" s="179">
        <f>P232</f>
        <v>0</v>
      </c>
      <c r="Q231" s="131"/>
      <c r="R231" s="218"/>
    </row>
    <row r="232" spans="1:18">
      <c r="A232" s="128"/>
      <c r="B232" s="15"/>
      <c r="C232" s="15"/>
      <c r="D232" s="26"/>
      <c r="E232" s="15"/>
      <c r="F232" s="15"/>
      <c r="G232" s="15"/>
      <c r="H232" s="15"/>
      <c r="I232" s="15"/>
      <c r="J232" s="15"/>
      <c r="K232" s="15"/>
      <c r="L232" s="128"/>
      <c r="M232" s="128"/>
      <c r="N232" s="128">
        <f>M232/100000</f>
        <v>0</v>
      </c>
      <c r="O232" s="128"/>
      <c r="P232" s="195">
        <f>N232*O232</f>
        <v>0</v>
      </c>
      <c r="Q232" s="15"/>
      <c r="R232" s="212"/>
    </row>
    <row r="233" spans="1:18">
      <c r="A233" s="236">
        <v>12</v>
      </c>
      <c r="B233" s="377" t="s">
        <v>119</v>
      </c>
      <c r="C233" s="377"/>
      <c r="D233" s="377"/>
      <c r="E233" s="377"/>
      <c r="F233" s="377"/>
      <c r="G233" s="377"/>
      <c r="H233" s="377"/>
      <c r="I233" s="377"/>
      <c r="J233" s="377"/>
      <c r="K233" s="377"/>
      <c r="L233" s="377"/>
      <c r="M233" s="377"/>
      <c r="N233" s="377"/>
      <c r="O233" s="377"/>
      <c r="P233" s="64">
        <f>P235+P238</f>
        <v>21</v>
      </c>
      <c r="Q233" s="22"/>
      <c r="R233" s="212" t="s">
        <v>273</v>
      </c>
    </row>
    <row r="234" spans="1:18" s="183" customFormat="1">
      <c r="A234" s="9"/>
      <c r="B234" s="181" t="s">
        <v>607</v>
      </c>
      <c r="C234" s="181" t="s">
        <v>117</v>
      </c>
      <c r="D234" s="31" t="s">
        <v>608</v>
      </c>
      <c r="E234" s="181" t="s">
        <v>626</v>
      </c>
      <c r="F234" s="181" t="s">
        <v>561</v>
      </c>
      <c r="G234" s="181"/>
      <c r="H234" s="181"/>
      <c r="I234" s="181"/>
      <c r="J234" s="181"/>
      <c r="K234" s="181"/>
      <c r="L234" s="200"/>
      <c r="M234" s="200"/>
      <c r="N234" s="200"/>
      <c r="O234" s="200"/>
      <c r="P234" s="67">
        <f>P235+P238</f>
        <v>21</v>
      </c>
      <c r="Q234" s="181"/>
      <c r="R234" s="219"/>
    </row>
    <row r="235" spans="1:18" s="157" customFormat="1" ht="22.5">
      <c r="A235" s="134"/>
      <c r="B235" s="178" t="s">
        <v>609</v>
      </c>
      <c r="C235" s="178"/>
      <c r="D235" s="178" t="s">
        <v>120</v>
      </c>
      <c r="E235" s="178" t="s">
        <v>626</v>
      </c>
      <c r="F235" s="178" t="s">
        <v>561</v>
      </c>
      <c r="G235" s="178"/>
      <c r="H235" s="178"/>
      <c r="I235" s="178"/>
      <c r="J235" s="178"/>
      <c r="K235" s="178"/>
      <c r="L235" s="182"/>
      <c r="M235" s="182"/>
      <c r="N235" s="182"/>
      <c r="O235" s="182"/>
      <c r="P235" s="180">
        <f>P236+P237</f>
        <v>1.5</v>
      </c>
      <c r="Q235" s="178"/>
      <c r="R235" s="215"/>
    </row>
    <row r="236" spans="1:18" ht="75.75" customHeight="1">
      <c r="A236" s="128"/>
      <c r="B236" s="15"/>
      <c r="C236" s="15"/>
      <c r="D236" s="33" t="s">
        <v>121</v>
      </c>
      <c r="E236" s="33"/>
      <c r="F236" s="33"/>
      <c r="G236" s="33"/>
      <c r="H236" s="33"/>
      <c r="I236" s="270">
        <v>10</v>
      </c>
      <c r="J236" s="270">
        <v>10.63</v>
      </c>
      <c r="K236" s="33"/>
      <c r="L236" s="25" t="s">
        <v>508</v>
      </c>
      <c r="M236" s="271">
        <v>150000</v>
      </c>
      <c r="N236" s="25">
        <f>M236/100000</f>
        <v>1.5</v>
      </c>
      <c r="O236" s="25">
        <v>1</v>
      </c>
      <c r="P236" s="68">
        <f>O236*N236</f>
        <v>1.5</v>
      </c>
      <c r="Q236" s="272" t="s">
        <v>680</v>
      </c>
      <c r="R236" s="212"/>
    </row>
    <row r="237" spans="1:18" ht="33" customHeight="1">
      <c r="A237" s="128"/>
      <c r="B237" s="15"/>
      <c r="C237" s="15"/>
      <c r="D237" s="15" t="s">
        <v>122</v>
      </c>
      <c r="E237" s="15"/>
      <c r="F237" s="15"/>
      <c r="G237" s="15"/>
      <c r="H237" s="15"/>
      <c r="I237" s="15"/>
      <c r="J237" s="15"/>
      <c r="K237" s="15"/>
      <c r="L237" s="25" t="s">
        <v>508</v>
      </c>
      <c r="M237" s="242"/>
      <c r="N237" s="128">
        <f>M237/100000</f>
        <v>0</v>
      </c>
      <c r="O237" s="128"/>
      <c r="P237" s="38">
        <f>O237*N237</f>
        <v>0</v>
      </c>
      <c r="Q237" s="15"/>
      <c r="R237" s="212"/>
    </row>
    <row r="238" spans="1:18" s="157" customFormat="1" ht="22.5">
      <c r="A238" s="134"/>
      <c r="B238" s="178" t="s">
        <v>609</v>
      </c>
      <c r="C238" s="178" t="s">
        <v>123</v>
      </c>
      <c r="D238" s="178" t="s">
        <v>119</v>
      </c>
      <c r="E238" s="178" t="s">
        <v>626</v>
      </c>
      <c r="F238" s="178" t="s">
        <v>561</v>
      </c>
      <c r="G238" s="178"/>
      <c r="H238" s="178"/>
      <c r="I238" s="178"/>
      <c r="J238" s="178"/>
      <c r="K238" s="178"/>
      <c r="L238" s="182"/>
      <c r="M238" s="182"/>
      <c r="N238" s="182"/>
      <c r="O238" s="182"/>
      <c r="P238" s="180">
        <f>P239+P240</f>
        <v>19.5</v>
      </c>
      <c r="Q238" s="178"/>
      <c r="R238" s="215"/>
    </row>
    <row r="239" spans="1:18" s="144" customFormat="1" ht="30.75" customHeight="1">
      <c r="A239" s="35"/>
      <c r="B239" s="34"/>
      <c r="C239" s="34"/>
      <c r="D239" s="34" t="s">
        <v>121</v>
      </c>
      <c r="E239" s="34"/>
      <c r="F239" s="34"/>
      <c r="G239" s="34"/>
      <c r="H239" s="34"/>
      <c r="I239" s="34"/>
      <c r="J239" s="34"/>
      <c r="K239" s="34"/>
      <c r="L239" s="25" t="s">
        <v>508</v>
      </c>
      <c r="M239" s="35"/>
      <c r="N239" s="35">
        <f>M239/100000</f>
        <v>0</v>
      </c>
      <c r="O239" s="35"/>
      <c r="P239" s="60">
        <f>O239*N239</f>
        <v>0</v>
      </c>
      <c r="Q239" s="28"/>
      <c r="R239" s="214"/>
    </row>
    <row r="240" spans="1:18" ht="73.150000000000006" customHeight="1">
      <c r="A240" s="128"/>
      <c r="B240" s="15"/>
      <c r="C240" s="15"/>
      <c r="D240" s="15" t="s">
        <v>122</v>
      </c>
      <c r="E240" s="15"/>
      <c r="F240" s="15"/>
      <c r="G240" s="15"/>
      <c r="H240" s="15"/>
      <c r="I240" s="15"/>
      <c r="J240" s="15"/>
      <c r="K240" s="15"/>
      <c r="L240" s="25" t="s">
        <v>508</v>
      </c>
      <c r="M240" s="242">
        <v>150000</v>
      </c>
      <c r="N240" s="128">
        <f>M240/100000</f>
        <v>1.5</v>
      </c>
      <c r="O240" s="242">
        <v>13</v>
      </c>
      <c r="P240" s="38">
        <f>O240*N240</f>
        <v>19.5</v>
      </c>
      <c r="Q240" s="274" t="s">
        <v>681</v>
      </c>
      <c r="R240" s="212"/>
    </row>
    <row r="241" spans="1:18" s="203" customFormat="1" ht="14.45" customHeight="1">
      <c r="A241" s="239">
        <v>13</v>
      </c>
      <c r="B241" s="380" t="s">
        <v>124</v>
      </c>
      <c r="C241" s="380"/>
      <c r="D241" s="380"/>
      <c r="E241" s="380"/>
      <c r="F241" s="380"/>
      <c r="G241" s="380"/>
      <c r="H241" s="380"/>
      <c r="I241" s="380"/>
      <c r="J241" s="380"/>
      <c r="K241" s="380"/>
      <c r="L241" s="380"/>
      <c r="M241" s="380"/>
      <c r="N241" s="380"/>
      <c r="O241" s="380"/>
      <c r="P241" s="201">
        <f>P242</f>
        <v>0</v>
      </c>
      <c r="Q241" s="202"/>
      <c r="R241" s="223" t="s">
        <v>273</v>
      </c>
    </row>
    <row r="242" spans="1:18" s="144" customFormat="1">
      <c r="A242" s="35"/>
      <c r="B242" s="34"/>
      <c r="C242" s="34"/>
      <c r="D242" s="34" t="s">
        <v>23</v>
      </c>
      <c r="E242" s="34"/>
      <c r="F242" s="34"/>
      <c r="G242" s="34"/>
      <c r="H242" s="34"/>
      <c r="I242" s="34"/>
      <c r="J242" s="34"/>
      <c r="K242" s="34"/>
      <c r="L242" s="35"/>
      <c r="M242" s="35"/>
      <c r="N242" s="35"/>
      <c r="O242" s="35"/>
      <c r="P242" s="60"/>
      <c r="Q242" s="34"/>
      <c r="R242" s="214"/>
    </row>
    <row r="243" spans="1:18" ht="14.45" customHeight="1">
      <c r="A243" s="236">
        <v>14</v>
      </c>
      <c r="B243" s="377" t="s">
        <v>125</v>
      </c>
      <c r="C243" s="377"/>
      <c r="D243" s="377"/>
      <c r="E243" s="377"/>
      <c r="F243" s="377"/>
      <c r="G243" s="377"/>
      <c r="H243" s="377"/>
      <c r="I243" s="377"/>
      <c r="J243" s="377"/>
      <c r="K243" s="377"/>
      <c r="L243" s="377"/>
      <c r="M243" s="377"/>
      <c r="N243" s="377"/>
      <c r="O243" s="377"/>
      <c r="P243" s="64">
        <f>P244+P253+P256</f>
        <v>32.794280000000001</v>
      </c>
      <c r="Q243" s="22"/>
      <c r="R243" s="212" t="s">
        <v>273</v>
      </c>
    </row>
    <row r="244" spans="1:18" ht="22.5">
      <c r="A244" s="128"/>
      <c r="B244" s="8" t="s">
        <v>306</v>
      </c>
      <c r="C244" s="8" t="s">
        <v>126</v>
      </c>
      <c r="D244" s="8" t="s">
        <v>563</v>
      </c>
      <c r="E244" s="32" t="s">
        <v>627</v>
      </c>
      <c r="F244" s="32" t="s">
        <v>628</v>
      </c>
      <c r="G244" s="32"/>
      <c r="H244" s="32"/>
      <c r="I244" s="32"/>
      <c r="J244" s="32"/>
      <c r="K244" s="32"/>
      <c r="L244" s="32"/>
      <c r="M244" s="32"/>
      <c r="N244" s="32"/>
      <c r="O244" s="32"/>
      <c r="P244" s="233">
        <f>P246+P250</f>
        <v>3.7942800000000001</v>
      </c>
      <c r="Q244" s="8"/>
      <c r="R244" s="212"/>
    </row>
    <row r="245" spans="1:18" ht="90">
      <c r="A245" s="128"/>
      <c r="B245" s="8"/>
      <c r="C245" s="8"/>
      <c r="D245" s="8"/>
      <c r="E245" s="32"/>
      <c r="F245" s="32"/>
      <c r="G245" s="9" t="s">
        <v>478</v>
      </c>
      <c r="H245" s="9" t="s">
        <v>527</v>
      </c>
      <c r="I245" s="9" t="s">
        <v>529</v>
      </c>
      <c r="J245" s="9" t="s">
        <v>526</v>
      </c>
      <c r="K245" s="9" t="s">
        <v>528</v>
      </c>
      <c r="L245" s="9" t="s">
        <v>183</v>
      </c>
      <c r="M245" s="9" t="s">
        <v>184</v>
      </c>
      <c r="N245" s="9" t="s">
        <v>530</v>
      </c>
      <c r="O245" s="9" t="s">
        <v>185</v>
      </c>
      <c r="P245" s="62" t="s">
        <v>186</v>
      </c>
      <c r="Q245" s="8"/>
      <c r="R245" s="212"/>
    </row>
    <row r="246" spans="1:18" s="171" customFormat="1">
      <c r="A246" s="127"/>
      <c r="B246" s="124"/>
      <c r="C246" s="124"/>
      <c r="D246" s="124" t="s">
        <v>37</v>
      </c>
      <c r="E246" s="112"/>
      <c r="F246" s="112"/>
      <c r="G246" s="114"/>
      <c r="H246" s="114"/>
      <c r="I246" s="114"/>
      <c r="J246" s="114"/>
      <c r="K246" s="114"/>
      <c r="L246" s="114"/>
      <c r="M246" s="114"/>
      <c r="N246" s="114"/>
      <c r="O246" s="114"/>
      <c r="P246" s="115">
        <f>P247+P248+P249</f>
        <v>3.7942800000000001</v>
      </c>
      <c r="Q246" s="124"/>
      <c r="R246" s="224"/>
    </row>
    <row r="247" spans="1:18" ht="30">
      <c r="A247" s="128"/>
      <c r="B247" s="15"/>
      <c r="C247" s="15"/>
      <c r="D247" s="15" t="s">
        <v>542</v>
      </c>
      <c r="E247" s="15"/>
      <c r="F247" s="15"/>
      <c r="G247" s="15">
        <v>1</v>
      </c>
      <c r="H247" s="15">
        <v>1</v>
      </c>
      <c r="I247" s="15">
        <v>0</v>
      </c>
      <c r="J247" s="15">
        <v>0</v>
      </c>
      <c r="K247" s="15">
        <v>12</v>
      </c>
      <c r="L247" s="128">
        <v>19019</v>
      </c>
      <c r="M247" s="128">
        <v>19019</v>
      </c>
      <c r="N247" s="128">
        <v>0</v>
      </c>
      <c r="O247" s="128">
        <v>0</v>
      </c>
      <c r="P247" s="38">
        <f>((M247*H247*12)+((G247-H247)*I247*N247)+(J247*K247*O247))/100000</f>
        <v>2.2822800000000001</v>
      </c>
      <c r="Q247" s="15"/>
      <c r="R247" s="212"/>
    </row>
    <row r="248" spans="1:18">
      <c r="A248" s="128"/>
      <c r="B248" s="15"/>
      <c r="C248" s="15"/>
      <c r="D248" s="15" t="s">
        <v>127</v>
      </c>
      <c r="E248" s="15"/>
      <c r="F248" s="15"/>
      <c r="G248" s="15">
        <v>1</v>
      </c>
      <c r="H248" s="15">
        <v>1</v>
      </c>
      <c r="I248" s="15">
        <v>0</v>
      </c>
      <c r="J248" s="15">
        <v>0</v>
      </c>
      <c r="K248" s="15">
        <v>12</v>
      </c>
      <c r="L248" s="128">
        <v>12600</v>
      </c>
      <c r="M248" s="128">
        <v>12600</v>
      </c>
      <c r="N248" s="128">
        <v>0</v>
      </c>
      <c r="O248" s="128">
        <v>0</v>
      </c>
      <c r="P248" s="38">
        <f>((M248*H248*12)+((G248-H248)*I248*N248)+(J248*K248*O248))/100000</f>
        <v>1.512</v>
      </c>
      <c r="Q248" s="15"/>
      <c r="R248" s="212"/>
    </row>
    <row r="249" spans="1:18">
      <c r="A249" s="128"/>
      <c r="B249" s="15"/>
      <c r="C249" s="15"/>
      <c r="D249" s="15" t="s">
        <v>128</v>
      </c>
      <c r="E249" s="15"/>
      <c r="F249" s="15"/>
      <c r="G249" s="15"/>
      <c r="H249" s="15"/>
      <c r="I249" s="15"/>
      <c r="J249" s="15"/>
      <c r="K249" s="15"/>
      <c r="L249" s="128"/>
      <c r="M249" s="128"/>
      <c r="N249" s="128"/>
      <c r="O249" s="128"/>
      <c r="P249" s="38">
        <f t="shared" ref="P249:P252" si="42">(M249*H249*12)+((G249-H249)*I249*N249)+(J249*K249*O249)</f>
        <v>0</v>
      </c>
      <c r="Q249" s="15"/>
      <c r="R249" s="212"/>
    </row>
    <row r="250" spans="1:18" s="171" customFormat="1">
      <c r="A250" s="127"/>
      <c r="B250" s="112"/>
      <c r="C250" s="112"/>
      <c r="D250" s="112" t="s">
        <v>48</v>
      </c>
      <c r="E250" s="112"/>
      <c r="F250" s="112"/>
      <c r="G250" s="112"/>
      <c r="H250" s="112"/>
      <c r="I250" s="112"/>
      <c r="J250" s="112"/>
      <c r="K250" s="112"/>
      <c r="L250" s="127"/>
      <c r="M250" s="127"/>
      <c r="N250" s="127"/>
      <c r="O250" s="127"/>
      <c r="P250" s="113">
        <f>P251+P252</f>
        <v>0</v>
      </c>
      <c r="Q250" s="112"/>
      <c r="R250" s="224"/>
    </row>
    <row r="251" spans="1:18">
      <c r="A251" s="128"/>
      <c r="B251" s="15"/>
      <c r="C251" s="15"/>
      <c r="D251" s="15" t="s">
        <v>543</v>
      </c>
      <c r="E251" s="15"/>
      <c r="F251" s="15"/>
      <c r="G251" s="15"/>
      <c r="H251" s="15"/>
      <c r="I251" s="15"/>
      <c r="J251" s="15"/>
      <c r="K251" s="15"/>
      <c r="L251" s="128"/>
      <c r="M251" s="128"/>
      <c r="N251" s="128"/>
      <c r="O251" s="128"/>
      <c r="P251" s="38">
        <f t="shared" si="42"/>
        <v>0</v>
      </c>
      <c r="Q251" s="15"/>
      <c r="R251" s="212"/>
    </row>
    <row r="252" spans="1:18">
      <c r="A252" s="128"/>
      <c r="B252" s="15"/>
      <c r="C252" s="15"/>
      <c r="D252" s="15" t="s">
        <v>128</v>
      </c>
      <c r="E252" s="15"/>
      <c r="F252" s="15"/>
      <c r="G252" s="15"/>
      <c r="H252" s="15"/>
      <c r="I252" s="15"/>
      <c r="J252" s="15"/>
      <c r="K252" s="15"/>
      <c r="L252" s="128"/>
      <c r="M252" s="128"/>
      <c r="N252" s="128"/>
      <c r="O252" s="128"/>
      <c r="P252" s="38">
        <f t="shared" si="42"/>
        <v>0</v>
      </c>
      <c r="Q252" s="15"/>
      <c r="R252" s="212"/>
    </row>
    <row r="253" spans="1:18">
      <c r="A253" s="128"/>
      <c r="B253" s="8" t="s">
        <v>347</v>
      </c>
      <c r="C253" s="8" t="s">
        <v>130</v>
      </c>
      <c r="D253" s="8" t="s">
        <v>131</v>
      </c>
      <c r="E253" s="8" t="s">
        <v>626</v>
      </c>
      <c r="F253" s="8" t="s">
        <v>561</v>
      </c>
      <c r="G253" s="8"/>
      <c r="H253" s="8"/>
      <c r="I253" s="8"/>
      <c r="J253" s="8"/>
      <c r="K253" s="8"/>
      <c r="L253" s="103"/>
      <c r="M253" s="103"/>
      <c r="N253" s="103"/>
      <c r="O253" s="103"/>
      <c r="P253" s="66">
        <f>P254+P255</f>
        <v>0</v>
      </c>
      <c r="Q253" s="8"/>
      <c r="R253" s="212"/>
    </row>
    <row r="254" spans="1:18">
      <c r="A254" s="128"/>
      <c r="B254" s="15"/>
      <c r="C254" s="15"/>
      <c r="D254" s="15" t="s">
        <v>37</v>
      </c>
      <c r="E254" s="15"/>
      <c r="F254" s="15"/>
      <c r="G254" s="15"/>
      <c r="H254" s="15"/>
      <c r="I254" s="15"/>
      <c r="J254" s="15"/>
      <c r="K254" s="15"/>
      <c r="L254" s="128"/>
      <c r="M254" s="128"/>
      <c r="N254" s="128">
        <f>M254/100000</f>
        <v>0</v>
      </c>
      <c r="O254" s="128"/>
      <c r="P254" s="38">
        <f>N254*O254</f>
        <v>0</v>
      </c>
      <c r="Q254" s="15"/>
      <c r="R254" s="212"/>
    </row>
    <row r="255" spans="1:18" ht="18.600000000000001" customHeight="1">
      <c r="A255" s="128"/>
      <c r="B255" s="15"/>
      <c r="C255" s="15"/>
      <c r="D255" s="15" t="s">
        <v>48</v>
      </c>
      <c r="E255" s="15"/>
      <c r="F255" s="15"/>
      <c r="G255" s="15"/>
      <c r="H255" s="15"/>
      <c r="I255" s="15"/>
      <c r="J255" s="15"/>
      <c r="K255" s="15"/>
      <c r="L255" s="128"/>
      <c r="M255" s="128"/>
      <c r="N255" s="128">
        <f>M255/100000</f>
        <v>0</v>
      </c>
      <c r="O255" s="128"/>
      <c r="P255" s="38">
        <f>N255*O255</f>
        <v>0</v>
      </c>
      <c r="Q255" s="15"/>
      <c r="R255" s="212"/>
    </row>
    <row r="256" spans="1:18">
      <c r="A256" s="128"/>
      <c r="B256" s="8" t="s">
        <v>305</v>
      </c>
      <c r="C256" s="8" t="s">
        <v>78</v>
      </c>
      <c r="D256" s="8" t="s">
        <v>132</v>
      </c>
      <c r="E256" s="8" t="s">
        <v>626</v>
      </c>
      <c r="F256" s="8" t="s">
        <v>561</v>
      </c>
      <c r="G256" s="8"/>
      <c r="H256" s="8"/>
      <c r="I256" s="8"/>
      <c r="J256" s="8"/>
      <c r="K256" s="8"/>
      <c r="L256" s="103"/>
      <c r="M256" s="103"/>
      <c r="N256" s="103"/>
      <c r="O256" s="103"/>
      <c r="P256" s="66">
        <f>P257+P258+P259+P260</f>
        <v>29</v>
      </c>
      <c r="Q256" s="8"/>
      <c r="R256" s="212"/>
    </row>
    <row r="257" spans="1:18">
      <c r="A257" s="128"/>
      <c r="B257" s="15"/>
      <c r="C257" s="15"/>
      <c r="D257" s="15" t="s">
        <v>133</v>
      </c>
      <c r="E257" s="15"/>
      <c r="F257" s="15"/>
      <c r="G257" s="15"/>
      <c r="H257" s="15"/>
      <c r="I257" s="15"/>
      <c r="J257" s="15"/>
      <c r="K257" s="15"/>
      <c r="L257" s="128" t="s">
        <v>683</v>
      </c>
      <c r="M257" s="128">
        <v>25000</v>
      </c>
      <c r="N257" s="128">
        <f t="shared" ref="N257:N260" si="43">M257/100000</f>
        <v>0.25</v>
      </c>
      <c r="O257" s="128">
        <v>12</v>
      </c>
      <c r="P257" s="38">
        <f>N257*O257</f>
        <v>3</v>
      </c>
      <c r="Q257" s="15" t="s">
        <v>651</v>
      </c>
      <c r="R257" s="212"/>
    </row>
    <row r="258" spans="1:18">
      <c r="A258" s="128"/>
      <c r="B258" s="15"/>
      <c r="C258" s="15"/>
      <c r="D258" s="15" t="s">
        <v>134</v>
      </c>
      <c r="E258" s="15"/>
      <c r="F258" s="15"/>
      <c r="G258" s="15"/>
      <c r="H258" s="15"/>
      <c r="I258" s="15"/>
      <c r="J258" s="15"/>
      <c r="K258" s="15"/>
      <c r="L258" s="242" t="s">
        <v>683</v>
      </c>
      <c r="M258" s="128">
        <v>25000</v>
      </c>
      <c r="N258" s="128">
        <f t="shared" si="43"/>
        <v>0.25</v>
      </c>
      <c r="O258" s="128">
        <v>104</v>
      </c>
      <c r="P258" s="38">
        <f t="shared" ref="P258:P260" si="44">N258*O258</f>
        <v>26</v>
      </c>
      <c r="Q258" s="15" t="s">
        <v>682</v>
      </c>
      <c r="R258" s="212"/>
    </row>
    <row r="259" spans="1:18">
      <c r="A259" s="128"/>
      <c r="B259" s="15"/>
      <c r="C259" s="15"/>
      <c r="D259" s="15" t="s">
        <v>135</v>
      </c>
      <c r="E259" s="15"/>
      <c r="F259" s="15"/>
      <c r="G259" s="15"/>
      <c r="H259" s="15"/>
      <c r="I259" s="15"/>
      <c r="J259" s="15"/>
      <c r="K259" s="15"/>
      <c r="L259" s="128"/>
      <c r="M259" s="128"/>
      <c r="N259" s="128">
        <f t="shared" si="43"/>
        <v>0</v>
      </c>
      <c r="O259" s="128"/>
      <c r="P259" s="38">
        <f t="shared" si="44"/>
        <v>0</v>
      </c>
      <c r="Q259" s="15"/>
      <c r="R259" s="212"/>
    </row>
    <row r="260" spans="1:18">
      <c r="A260" s="128"/>
      <c r="B260" s="15"/>
      <c r="C260" s="15"/>
      <c r="D260" s="15" t="s">
        <v>136</v>
      </c>
      <c r="E260" s="15"/>
      <c r="F260" s="15"/>
      <c r="G260" s="15"/>
      <c r="H260" s="15"/>
      <c r="I260" s="15"/>
      <c r="J260" s="15"/>
      <c r="K260" s="15"/>
      <c r="L260" s="128"/>
      <c r="M260" s="128"/>
      <c r="N260" s="128">
        <f t="shared" si="43"/>
        <v>0</v>
      </c>
      <c r="O260" s="128"/>
      <c r="P260" s="38">
        <f t="shared" si="44"/>
        <v>0</v>
      </c>
      <c r="Q260" s="15"/>
      <c r="R260" s="212"/>
    </row>
    <row r="261" spans="1:18">
      <c r="A261" s="236">
        <v>15</v>
      </c>
      <c r="B261" s="377" t="s">
        <v>137</v>
      </c>
      <c r="C261" s="377"/>
      <c r="D261" s="377"/>
      <c r="E261" s="377"/>
      <c r="F261" s="377"/>
      <c r="G261" s="377"/>
      <c r="H261" s="377"/>
      <c r="I261" s="377"/>
      <c r="J261" s="377"/>
      <c r="K261" s="377"/>
      <c r="L261" s="377"/>
      <c r="M261" s="377"/>
      <c r="N261" s="377"/>
      <c r="O261" s="377"/>
      <c r="P261" s="64">
        <f>P262</f>
        <v>440</v>
      </c>
      <c r="Q261" s="22"/>
      <c r="R261" s="212" t="s">
        <v>273</v>
      </c>
    </row>
    <row r="262" spans="1:18">
      <c r="A262" s="128"/>
      <c r="B262" s="8" t="s">
        <v>610</v>
      </c>
      <c r="C262" s="8" t="s">
        <v>138</v>
      </c>
      <c r="D262" s="8" t="s">
        <v>611</v>
      </c>
      <c r="E262" s="8" t="s">
        <v>626</v>
      </c>
      <c r="F262" s="8" t="s">
        <v>561</v>
      </c>
      <c r="G262" s="8"/>
      <c r="H262" s="8"/>
      <c r="I262" s="8"/>
      <c r="J262" s="8"/>
      <c r="K262" s="8"/>
      <c r="L262" s="103"/>
      <c r="M262" s="103"/>
      <c r="N262" s="103"/>
      <c r="O262" s="103"/>
      <c r="P262" s="66">
        <f>P264+P267+P268+P269</f>
        <v>440</v>
      </c>
      <c r="Q262" s="8"/>
      <c r="R262" s="212"/>
    </row>
    <row r="263" spans="1:18" ht="22.5">
      <c r="A263" s="128"/>
      <c r="B263" s="8" t="s">
        <v>612</v>
      </c>
      <c r="C263" s="181"/>
      <c r="D263" s="181" t="s">
        <v>348</v>
      </c>
      <c r="E263" s="8"/>
      <c r="F263" s="8"/>
      <c r="G263" s="8"/>
      <c r="H263" s="8"/>
      <c r="I263" s="8"/>
      <c r="J263" s="8"/>
      <c r="K263" s="8"/>
      <c r="L263" s="103"/>
      <c r="M263" s="103"/>
      <c r="N263" s="103"/>
      <c r="O263" s="103"/>
      <c r="P263" s="67"/>
      <c r="Q263" s="8"/>
      <c r="R263" s="212"/>
    </row>
    <row r="264" spans="1:18" s="144" customFormat="1" ht="60">
      <c r="A264" s="35"/>
      <c r="B264" s="34"/>
      <c r="C264" s="34"/>
      <c r="D264" s="34" t="s">
        <v>139</v>
      </c>
      <c r="E264" s="34"/>
      <c r="F264" s="34"/>
      <c r="G264" s="34"/>
      <c r="H264" s="34"/>
      <c r="I264" s="34"/>
      <c r="J264" s="34"/>
      <c r="K264" s="34"/>
      <c r="L264" s="35"/>
      <c r="M264" s="242">
        <v>2500000</v>
      </c>
      <c r="N264" s="35">
        <f>M264/100000</f>
        <v>25</v>
      </c>
      <c r="O264" s="35">
        <v>1</v>
      </c>
      <c r="P264" s="60">
        <f>N264*O264</f>
        <v>25</v>
      </c>
      <c r="Q264" s="275" t="s">
        <v>684</v>
      </c>
      <c r="R264" s="214"/>
    </row>
    <row r="265" spans="1:18" s="144" customFormat="1">
      <c r="A265" s="35"/>
      <c r="B265" s="34"/>
      <c r="C265" s="34"/>
      <c r="D265" s="34" t="s">
        <v>453</v>
      </c>
      <c r="E265" s="34"/>
      <c r="F265" s="34"/>
      <c r="G265" s="34"/>
      <c r="H265" s="34"/>
      <c r="I265" s="34"/>
      <c r="J265" s="34"/>
      <c r="K265" s="34"/>
      <c r="L265" s="35"/>
      <c r="M265" s="35"/>
      <c r="N265" s="35">
        <f t="shared" ref="N265:N269" si="45">M265/100000</f>
        <v>0</v>
      </c>
      <c r="O265" s="35"/>
      <c r="P265" s="60">
        <f t="shared" ref="P265:P266" si="46">N265*O265</f>
        <v>0</v>
      </c>
      <c r="Q265" s="34"/>
      <c r="R265" s="214"/>
    </row>
    <row r="266" spans="1:18" s="144" customFormat="1">
      <c r="A266" s="35"/>
      <c r="B266" s="34"/>
      <c r="C266" s="34"/>
      <c r="D266" s="93" t="s">
        <v>452</v>
      </c>
      <c r="E266" s="34"/>
      <c r="F266" s="34"/>
      <c r="G266" s="34"/>
      <c r="H266" s="34"/>
      <c r="I266" s="34"/>
      <c r="J266" s="34"/>
      <c r="K266" s="34"/>
      <c r="L266" s="35"/>
      <c r="M266" s="35"/>
      <c r="N266" s="35">
        <f t="shared" si="45"/>
        <v>0</v>
      </c>
      <c r="O266" s="35"/>
      <c r="P266" s="60">
        <f t="shared" si="46"/>
        <v>0</v>
      </c>
      <c r="Q266" s="34"/>
      <c r="R266" s="214"/>
    </row>
    <row r="267" spans="1:18" ht="60">
      <c r="A267" s="128"/>
      <c r="B267" s="8" t="s">
        <v>613</v>
      </c>
      <c r="C267" s="8" t="s">
        <v>352</v>
      </c>
      <c r="D267" s="8" t="s">
        <v>140</v>
      </c>
      <c r="E267" s="8" t="s">
        <v>626</v>
      </c>
      <c r="F267" s="8" t="s">
        <v>561</v>
      </c>
      <c r="G267" s="8"/>
      <c r="H267" s="8"/>
      <c r="I267" s="8">
        <v>100</v>
      </c>
      <c r="J267" s="8">
        <v>0</v>
      </c>
      <c r="K267" s="8"/>
      <c r="L267" s="103"/>
      <c r="M267" s="103">
        <v>5000000</v>
      </c>
      <c r="N267" s="103">
        <f t="shared" si="45"/>
        <v>50</v>
      </c>
      <c r="O267" s="103">
        <v>8</v>
      </c>
      <c r="P267" s="66">
        <f>N267*O267</f>
        <v>400</v>
      </c>
      <c r="Q267" s="275" t="s">
        <v>685</v>
      </c>
      <c r="R267" s="212"/>
    </row>
    <row r="268" spans="1:18" s="143" customFormat="1" ht="30">
      <c r="A268" s="35"/>
      <c r="B268" s="8" t="s">
        <v>614</v>
      </c>
      <c r="C268" s="148" t="s">
        <v>349</v>
      </c>
      <c r="D268" s="234" t="s">
        <v>350</v>
      </c>
      <c r="E268" s="8" t="s">
        <v>626</v>
      </c>
      <c r="F268" s="8" t="s">
        <v>561</v>
      </c>
      <c r="G268" s="32"/>
      <c r="H268" s="32"/>
      <c r="I268" s="32"/>
      <c r="J268" s="32"/>
      <c r="K268" s="32"/>
      <c r="L268" s="29" t="s">
        <v>616</v>
      </c>
      <c r="M268" s="29">
        <v>1000</v>
      </c>
      <c r="N268" s="29">
        <f t="shared" si="45"/>
        <v>0.01</v>
      </c>
      <c r="O268" s="29">
        <v>500</v>
      </c>
      <c r="P268" s="66">
        <f t="shared" ref="P268:P269" si="47">N268*O268</f>
        <v>5</v>
      </c>
      <c r="Q268" s="268" t="s">
        <v>686</v>
      </c>
      <c r="R268" s="213"/>
    </row>
    <row r="269" spans="1:18" s="143" customFormat="1" ht="75">
      <c r="A269" s="35"/>
      <c r="B269" s="8" t="s">
        <v>615</v>
      </c>
      <c r="C269" s="148"/>
      <c r="D269" s="172" t="s">
        <v>351</v>
      </c>
      <c r="E269" s="8" t="s">
        <v>626</v>
      </c>
      <c r="F269" s="8" t="s">
        <v>561</v>
      </c>
      <c r="G269" s="32"/>
      <c r="H269" s="32"/>
      <c r="I269" s="32"/>
      <c r="J269" s="32"/>
      <c r="K269" s="32"/>
      <c r="L269" s="29"/>
      <c r="M269" s="29">
        <v>1000000</v>
      </c>
      <c r="N269" s="29">
        <f t="shared" si="45"/>
        <v>10</v>
      </c>
      <c r="O269" s="29">
        <v>1</v>
      </c>
      <c r="P269" s="66">
        <f t="shared" si="47"/>
        <v>10</v>
      </c>
      <c r="Q269" s="276" t="s">
        <v>687</v>
      </c>
      <c r="R269" s="213"/>
    </row>
    <row r="270" spans="1:18" ht="14.45" customHeight="1">
      <c r="A270" s="236">
        <v>16</v>
      </c>
      <c r="B270" s="377" t="s">
        <v>141</v>
      </c>
      <c r="C270" s="377"/>
      <c r="D270" s="377"/>
      <c r="E270" s="377"/>
      <c r="F270" s="377"/>
      <c r="G270" s="377"/>
      <c r="H270" s="377"/>
      <c r="I270" s="377"/>
      <c r="J270" s="377"/>
      <c r="K270" s="377"/>
      <c r="L270" s="377"/>
      <c r="M270" s="377"/>
      <c r="N270" s="377"/>
      <c r="O270" s="377"/>
      <c r="P270" s="64">
        <f>P271+P273+P281+P299+P320+P328+P331</f>
        <v>338.22</v>
      </c>
      <c r="Q270" s="22"/>
      <c r="R270" s="212" t="s">
        <v>273</v>
      </c>
    </row>
    <row r="271" spans="1:18" s="80" customFormat="1" ht="27" customHeight="1">
      <c r="A271" s="240"/>
      <c r="B271" s="78">
        <v>16.399999999999999</v>
      </c>
      <c r="C271" s="78"/>
      <c r="D271" s="8" t="s">
        <v>532</v>
      </c>
      <c r="E271" s="78"/>
      <c r="F271" s="78"/>
      <c r="G271" s="78"/>
      <c r="H271" s="78"/>
      <c r="I271" s="78"/>
      <c r="J271" s="78"/>
      <c r="K271" s="78"/>
      <c r="L271" s="107"/>
      <c r="M271" s="107"/>
      <c r="N271" s="107"/>
      <c r="O271" s="107"/>
      <c r="P271" s="107"/>
      <c r="Q271" s="78"/>
    </row>
    <row r="272" spans="1:18" s="117" customFormat="1">
      <c r="A272" s="139"/>
      <c r="B272" s="93"/>
      <c r="C272" s="93"/>
      <c r="D272" s="235"/>
      <c r="E272" s="93"/>
      <c r="F272" s="93"/>
      <c r="G272" s="93"/>
      <c r="H272" s="93"/>
      <c r="I272" s="93"/>
      <c r="J272" s="93"/>
      <c r="K272" s="93"/>
      <c r="L272" s="139"/>
      <c r="M272" s="139"/>
      <c r="N272" s="139"/>
      <c r="O272" s="139"/>
      <c r="P272" s="139"/>
      <c r="Q272" s="93"/>
    </row>
    <row r="273" spans="1:18" s="204" customFormat="1" ht="22.5">
      <c r="A273" s="241"/>
      <c r="B273" s="181" t="s">
        <v>353</v>
      </c>
      <c r="C273" s="181" t="s">
        <v>99</v>
      </c>
      <c r="D273" s="181" t="s">
        <v>142</v>
      </c>
      <c r="E273" s="181" t="s">
        <v>626</v>
      </c>
      <c r="F273" s="181" t="s">
        <v>629</v>
      </c>
      <c r="G273" s="181"/>
      <c r="H273" s="181"/>
      <c r="I273" s="181"/>
      <c r="J273" s="181"/>
      <c r="K273" s="181"/>
      <c r="L273" s="200"/>
      <c r="M273" s="200"/>
      <c r="N273" s="200"/>
      <c r="O273" s="200"/>
      <c r="P273" s="67">
        <f>P274+P275+P276+P277+P278+P279+P280</f>
        <v>4.9600000000000009</v>
      </c>
      <c r="Q273" s="181"/>
      <c r="R273" s="225"/>
    </row>
    <row r="274" spans="1:18" ht="30">
      <c r="A274" s="128"/>
      <c r="B274" s="15"/>
      <c r="C274" s="15"/>
      <c r="D274" s="15" t="s">
        <v>143</v>
      </c>
      <c r="E274" s="15"/>
      <c r="F274" s="15"/>
      <c r="G274" s="15"/>
      <c r="H274" s="15"/>
      <c r="I274" s="15">
        <v>9.61</v>
      </c>
      <c r="J274" s="15">
        <v>0.28000000000000003</v>
      </c>
      <c r="K274" s="15"/>
      <c r="L274" s="128" t="s">
        <v>509</v>
      </c>
      <c r="M274" s="128">
        <v>30000</v>
      </c>
      <c r="N274" s="128">
        <f>M274/100000</f>
        <v>0.3</v>
      </c>
      <c r="O274" s="128">
        <v>8</v>
      </c>
      <c r="P274" s="38">
        <f>O274*N274</f>
        <v>2.4</v>
      </c>
      <c r="Q274" s="27"/>
      <c r="R274" s="212"/>
    </row>
    <row r="275" spans="1:18" ht="30">
      <c r="A275" s="128"/>
      <c r="B275" s="15"/>
      <c r="C275" s="15"/>
      <c r="D275" s="15" t="s">
        <v>144</v>
      </c>
      <c r="E275" s="15"/>
      <c r="F275" s="15"/>
      <c r="G275" s="15"/>
      <c r="H275" s="15"/>
      <c r="I275" s="15"/>
      <c r="J275" s="15"/>
      <c r="K275" s="15"/>
      <c r="L275" s="128" t="s">
        <v>509</v>
      </c>
      <c r="M275" s="128">
        <v>2000</v>
      </c>
      <c r="N275" s="128">
        <f t="shared" ref="N275:N280" si="48">M275/100000</f>
        <v>0.02</v>
      </c>
      <c r="O275" s="128">
        <v>108</v>
      </c>
      <c r="P275" s="38">
        <f t="shared" ref="P275:P280" si="49">O275*N275</f>
        <v>2.16</v>
      </c>
      <c r="Q275" s="27"/>
      <c r="R275" s="212"/>
    </row>
    <row r="276" spans="1:18" ht="30">
      <c r="A276" s="128"/>
      <c r="B276" s="15"/>
      <c r="C276" s="15"/>
      <c r="D276" s="15" t="s">
        <v>145</v>
      </c>
      <c r="E276" s="15"/>
      <c r="F276" s="15"/>
      <c r="G276" s="15"/>
      <c r="H276" s="15"/>
      <c r="I276" s="15"/>
      <c r="J276" s="15"/>
      <c r="K276" s="15"/>
      <c r="L276" s="128" t="s">
        <v>509</v>
      </c>
      <c r="M276" s="128">
        <v>40000</v>
      </c>
      <c r="N276" s="128">
        <f t="shared" si="48"/>
        <v>0.4</v>
      </c>
      <c r="O276" s="128">
        <v>1</v>
      </c>
      <c r="P276" s="38">
        <f t="shared" si="49"/>
        <v>0.4</v>
      </c>
      <c r="Q276" s="15"/>
      <c r="R276" s="212"/>
    </row>
    <row r="277" spans="1:18" ht="30">
      <c r="A277" s="128"/>
      <c r="B277" s="15"/>
      <c r="C277" s="15"/>
      <c r="D277" s="15" t="s">
        <v>146</v>
      </c>
      <c r="E277" s="15"/>
      <c r="F277" s="15"/>
      <c r="G277" s="15"/>
      <c r="H277" s="15"/>
      <c r="I277" s="15"/>
      <c r="J277" s="15"/>
      <c r="K277" s="15"/>
      <c r="L277" s="128" t="s">
        <v>510</v>
      </c>
      <c r="M277" s="128"/>
      <c r="N277" s="128">
        <f t="shared" si="48"/>
        <v>0</v>
      </c>
      <c r="O277" s="128"/>
      <c r="P277" s="38">
        <f t="shared" si="49"/>
        <v>0</v>
      </c>
      <c r="Q277" s="15"/>
      <c r="R277" s="212"/>
    </row>
    <row r="278" spans="1:18" ht="30">
      <c r="A278" s="128"/>
      <c r="B278" s="15"/>
      <c r="C278" s="15"/>
      <c r="D278" s="15" t="s">
        <v>147</v>
      </c>
      <c r="E278" s="15"/>
      <c r="F278" s="15"/>
      <c r="G278" s="15"/>
      <c r="H278" s="15"/>
      <c r="I278" s="15"/>
      <c r="J278" s="15"/>
      <c r="K278" s="15"/>
      <c r="L278" s="128" t="s">
        <v>510</v>
      </c>
      <c r="M278" s="128"/>
      <c r="N278" s="128">
        <f t="shared" si="48"/>
        <v>0</v>
      </c>
      <c r="O278" s="128"/>
      <c r="P278" s="38">
        <f t="shared" si="49"/>
        <v>0</v>
      </c>
      <c r="Q278" s="27"/>
      <c r="R278" s="212"/>
    </row>
    <row r="279" spans="1:18" ht="30">
      <c r="A279" s="128"/>
      <c r="B279" s="15"/>
      <c r="C279" s="15"/>
      <c r="D279" s="15" t="s">
        <v>459</v>
      </c>
      <c r="E279" s="15"/>
      <c r="F279" s="15"/>
      <c r="G279" s="15"/>
      <c r="H279" s="15"/>
      <c r="I279" s="15"/>
      <c r="J279" s="15"/>
      <c r="K279" s="15"/>
      <c r="L279" s="128" t="s">
        <v>511</v>
      </c>
      <c r="M279" s="128"/>
      <c r="N279" s="128">
        <f t="shared" si="48"/>
        <v>0</v>
      </c>
      <c r="O279" s="128"/>
      <c r="P279" s="38">
        <f>O279*N279</f>
        <v>0</v>
      </c>
      <c r="Q279" s="27"/>
      <c r="R279" s="212"/>
    </row>
    <row r="280" spans="1:18">
      <c r="A280" s="128"/>
      <c r="B280" s="15"/>
      <c r="C280" s="15"/>
      <c r="D280" s="15" t="s">
        <v>148</v>
      </c>
      <c r="E280" s="15"/>
      <c r="F280" s="15"/>
      <c r="G280" s="15"/>
      <c r="H280" s="15"/>
      <c r="I280" s="15"/>
      <c r="J280" s="15"/>
      <c r="K280" s="15"/>
      <c r="L280" s="128"/>
      <c r="M280" s="128"/>
      <c r="N280" s="128">
        <f t="shared" si="48"/>
        <v>0</v>
      </c>
      <c r="O280" s="128"/>
      <c r="P280" s="38">
        <f t="shared" si="49"/>
        <v>0</v>
      </c>
      <c r="Q280" s="15"/>
      <c r="R280" s="212"/>
    </row>
    <row r="281" spans="1:18" s="204" customFormat="1" ht="22.5">
      <c r="A281" s="241"/>
      <c r="B281" s="181" t="s">
        <v>354</v>
      </c>
      <c r="C281" s="181" t="s">
        <v>149</v>
      </c>
      <c r="D281" s="181" t="s">
        <v>150</v>
      </c>
      <c r="E281" s="181" t="s">
        <v>626</v>
      </c>
      <c r="F281" s="181" t="s">
        <v>629</v>
      </c>
      <c r="G281" s="181"/>
      <c r="H281" s="181"/>
      <c r="I281" s="181"/>
      <c r="J281" s="181"/>
      <c r="K281" s="181"/>
      <c r="L281" s="200"/>
      <c r="M281" s="200"/>
      <c r="N281" s="200"/>
      <c r="O281" s="200"/>
      <c r="P281" s="67">
        <f>P290+P298</f>
        <v>10.26</v>
      </c>
      <c r="Q281" s="181"/>
      <c r="R281" s="225"/>
    </row>
    <row r="282" spans="1:18">
      <c r="A282" s="128"/>
      <c r="B282" s="15"/>
      <c r="C282" s="15"/>
      <c r="D282" s="111" t="s">
        <v>37</v>
      </c>
      <c r="E282" s="112"/>
      <c r="F282" s="112"/>
      <c r="G282" s="112"/>
      <c r="H282" s="112"/>
      <c r="I282" s="112"/>
      <c r="J282" s="112"/>
      <c r="K282" s="112"/>
      <c r="L282" s="127"/>
      <c r="M282" s="127"/>
      <c r="N282" s="127"/>
      <c r="O282" s="127"/>
      <c r="P282" s="113"/>
      <c r="Q282" s="15"/>
      <c r="R282" s="212"/>
    </row>
    <row r="283" spans="1:18" ht="42.6" customHeight="1">
      <c r="A283" s="128"/>
      <c r="B283" s="15"/>
      <c r="C283" s="15"/>
      <c r="D283" s="15" t="s">
        <v>195</v>
      </c>
      <c r="E283" s="15"/>
      <c r="F283" s="15"/>
      <c r="G283" s="15"/>
      <c r="H283" s="15"/>
      <c r="I283" s="15">
        <v>47.11</v>
      </c>
      <c r="J283" s="15">
        <v>48.47</v>
      </c>
      <c r="K283" s="15"/>
      <c r="L283" s="128" t="s">
        <v>511</v>
      </c>
      <c r="M283" s="242">
        <v>113000</v>
      </c>
      <c r="N283" s="128">
        <f>M283/100000</f>
        <v>1.1299999999999999</v>
      </c>
      <c r="O283" s="128">
        <v>2</v>
      </c>
      <c r="P283" s="38">
        <f>N283*O283</f>
        <v>2.2599999999999998</v>
      </c>
      <c r="Q283" s="27" t="s">
        <v>303</v>
      </c>
      <c r="R283" s="212"/>
    </row>
    <row r="284" spans="1:18" ht="30">
      <c r="A284" s="128"/>
      <c r="B284" s="15"/>
      <c r="C284" s="15"/>
      <c r="D284" s="15" t="s">
        <v>151</v>
      </c>
      <c r="E284" s="15"/>
      <c r="F284" s="15"/>
      <c r="G284" s="15"/>
      <c r="H284" s="15"/>
      <c r="I284" s="15"/>
      <c r="J284" s="15"/>
      <c r="K284" s="15"/>
      <c r="L284" s="128" t="s">
        <v>511</v>
      </c>
      <c r="M284" s="242">
        <v>20000</v>
      </c>
      <c r="N284" s="128">
        <f t="shared" ref="N284:N289" si="50">M284/100000</f>
        <v>0.2</v>
      </c>
      <c r="O284" s="128">
        <v>2</v>
      </c>
      <c r="P284" s="38">
        <f t="shared" ref="P284:P289" si="51">N284*O284</f>
        <v>0.4</v>
      </c>
      <c r="Q284" s="96" t="s">
        <v>291</v>
      </c>
      <c r="R284" s="212"/>
    </row>
    <row r="285" spans="1:18" ht="30">
      <c r="A285" s="128"/>
      <c r="B285" s="15"/>
      <c r="C285" s="15"/>
      <c r="D285" s="15" t="s">
        <v>152</v>
      </c>
      <c r="E285" s="15"/>
      <c r="F285" s="15"/>
      <c r="G285" s="15"/>
      <c r="H285" s="15"/>
      <c r="I285" s="15"/>
      <c r="J285" s="15"/>
      <c r="K285" s="15"/>
      <c r="L285" s="128" t="s">
        <v>511</v>
      </c>
      <c r="M285" s="128"/>
      <c r="N285" s="128">
        <f t="shared" si="50"/>
        <v>0</v>
      </c>
      <c r="O285" s="128"/>
      <c r="P285" s="38">
        <f t="shared" si="51"/>
        <v>0</v>
      </c>
      <c r="Q285" s="15"/>
      <c r="R285" s="212"/>
    </row>
    <row r="286" spans="1:18" ht="56.25" customHeight="1">
      <c r="A286" s="128"/>
      <c r="B286" s="15"/>
      <c r="C286" s="15"/>
      <c r="D286" s="15" t="s">
        <v>153</v>
      </c>
      <c r="E286" s="15"/>
      <c r="F286" s="15"/>
      <c r="G286" s="15"/>
      <c r="H286" s="15"/>
      <c r="I286" s="15"/>
      <c r="J286" s="15"/>
      <c r="K286" s="15"/>
      <c r="L286" s="128" t="s">
        <v>511</v>
      </c>
      <c r="M286" s="128">
        <v>100000</v>
      </c>
      <c r="N286" s="128">
        <f t="shared" si="50"/>
        <v>1</v>
      </c>
      <c r="O286" s="128">
        <v>1</v>
      </c>
      <c r="P286" s="38">
        <f t="shared" si="51"/>
        <v>1</v>
      </c>
      <c r="Q286" s="15" t="s">
        <v>688</v>
      </c>
      <c r="R286" s="212"/>
    </row>
    <row r="287" spans="1:18" ht="30">
      <c r="A287" s="128"/>
      <c r="B287" s="15"/>
      <c r="C287" s="15"/>
      <c r="D287" s="15" t="s">
        <v>154</v>
      </c>
      <c r="E287" s="15"/>
      <c r="F287" s="15"/>
      <c r="G287" s="15"/>
      <c r="H287" s="15"/>
      <c r="I287" s="15"/>
      <c r="J287" s="15"/>
      <c r="K287" s="15"/>
      <c r="L287" s="128" t="s">
        <v>509</v>
      </c>
      <c r="M287" s="128">
        <v>40000</v>
      </c>
      <c r="N287" s="128">
        <f t="shared" si="50"/>
        <v>0.4</v>
      </c>
      <c r="O287" s="128">
        <v>4</v>
      </c>
      <c r="P287" s="38">
        <f t="shared" si="51"/>
        <v>1.6</v>
      </c>
      <c r="Q287" s="15" t="s">
        <v>688</v>
      </c>
      <c r="R287" s="212"/>
    </row>
    <row r="288" spans="1:18" ht="45">
      <c r="A288" s="128"/>
      <c r="B288" s="15"/>
      <c r="C288" s="15"/>
      <c r="D288" s="15" t="s">
        <v>537</v>
      </c>
      <c r="E288" s="15"/>
      <c r="F288" s="15"/>
      <c r="G288" s="15"/>
      <c r="H288" s="15"/>
      <c r="I288" s="15"/>
      <c r="J288" s="15"/>
      <c r="K288" s="15"/>
      <c r="L288" s="128"/>
      <c r="M288" s="128"/>
      <c r="N288" s="128">
        <f t="shared" si="50"/>
        <v>0</v>
      </c>
      <c r="O288" s="128"/>
      <c r="P288" s="38">
        <f t="shared" si="51"/>
        <v>0</v>
      </c>
      <c r="Q288" s="15"/>
      <c r="R288" s="212"/>
    </row>
    <row r="289" spans="1:18">
      <c r="A289" s="128"/>
      <c r="B289" s="15"/>
      <c r="C289" s="15"/>
      <c r="D289" s="15" t="s">
        <v>46</v>
      </c>
      <c r="E289" s="15"/>
      <c r="F289" s="15"/>
      <c r="G289" s="15"/>
      <c r="H289" s="15"/>
      <c r="I289" s="15"/>
      <c r="J289" s="15"/>
      <c r="K289" s="15"/>
      <c r="L289" s="128"/>
      <c r="M289" s="128"/>
      <c r="N289" s="128">
        <f t="shared" si="50"/>
        <v>0</v>
      </c>
      <c r="O289" s="128"/>
      <c r="P289" s="38">
        <f t="shared" si="51"/>
        <v>0</v>
      </c>
      <c r="Q289" s="15"/>
      <c r="R289" s="212"/>
    </row>
    <row r="290" spans="1:18">
      <c r="A290" s="128"/>
      <c r="B290" s="15"/>
      <c r="C290" s="15"/>
      <c r="D290" s="26" t="s">
        <v>47</v>
      </c>
      <c r="E290" s="15"/>
      <c r="F290" s="15"/>
      <c r="G290" s="15"/>
      <c r="H290" s="15"/>
      <c r="I290" s="15"/>
      <c r="J290" s="15"/>
      <c r="K290" s="15"/>
      <c r="L290" s="128"/>
      <c r="M290" s="128"/>
      <c r="N290" s="128"/>
      <c r="O290" s="128"/>
      <c r="P290" s="63">
        <f>SUM(P283:P289)</f>
        <v>5.26</v>
      </c>
      <c r="Q290" s="15"/>
      <c r="R290" s="212"/>
    </row>
    <row r="291" spans="1:18">
      <c r="A291" s="128"/>
      <c r="B291" s="15"/>
      <c r="C291" s="15"/>
      <c r="D291" s="111" t="s">
        <v>48</v>
      </c>
      <c r="E291" s="112"/>
      <c r="F291" s="112"/>
      <c r="G291" s="112"/>
      <c r="H291" s="112"/>
      <c r="I291" s="112"/>
      <c r="J291" s="112"/>
      <c r="K291" s="112"/>
      <c r="L291" s="127"/>
      <c r="M291" s="127"/>
      <c r="N291" s="127"/>
      <c r="O291" s="127"/>
      <c r="P291" s="113"/>
      <c r="Q291" s="15"/>
      <c r="R291" s="212"/>
    </row>
    <row r="292" spans="1:18" ht="30">
      <c r="A292" s="128"/>
      <c r="B292" s="15"/>
      <c r="C292" s="15"/>
      <c r="D292" s="15" t="s">
        <v>196</v>
      </c>
      <c r="E292" s="15"/>
      <c r="F292" s="15"/>
      <c r="G292" s="15"/>
      <c r="H292" s="15"/>
      <c r="I292" s="15"/>
      <c r="J292" s="15"/>
      <c r="K292" s="15"/>
      <c r="L292" s="128" t="s">
        <v>511</v>
      </c>
      <c r="M292" s="242">
        <v>250000</v>
      </c>
      <c r="N292" s="128">
        <f>M292/100000</f>
        <v>2.5</v>
      </c>
      <c r="O292" s="128">
        <v>2</v>
      </c>
      <c r="P292" s="38">
        <f>O292*N292</f>
        <v>5</v>
      </c>
      <c r="Q292" s="261" t="s">
        <v>689</v>
      </c>
      <c r="R292" s="212"/>
    </row>
    <row r="293" spans="1:18" ht="30">
      <c r="A293" s="128"/>
      <c r="B293" s="15"/>
      <c r="C293" s="15"/>
      <c r="D293" s="15" t="s">
        <v>151</v>
      </c>
      <c r="E293" s="15"/>
      <c r="F293" s="15"/>
      <c r="G293" s="15"/>
      <c r="H293" s="15"/>
      <c r="I293" s="15"/>
      <c r="J293" s="15"/>
      <c r="K293" s="15"/>
      <c r="L293" s="128" t="s">
        <v>511</v>
      </c>
      <c r="M293" s="128"/>
      <c r="N293" s="128">
        <f t="shared" ref="N293:N297" si="52">M293/100000</f>
        <v>0</v>
      </c>
      <c r="O293" s="128"/>
      <c r="P293" s="38">
        <f t="shared" ref="P293:P295" si="53">O293*N293</f>
        <v>0</v>
      </c>
      <c r="Q293" s="15"/>
      <c r="R293" s="212"/>
    </row>
    <row r="294" spans="1:18" ht="30">
      <c r="A294" s="128"/>
      <c r="B294" s="15"/>
      <c r="C294" s="15"/>
      <c r="D294" s="15" t="s">
        <v>152</v>
      </c>
      <c r="E294" s="15"/>
      <c r="F294" s="15"/>
      <c r="G294" s="15"/>
      <c r="H294" s="15"/>
      <c r="I294" s="15"/>
      <c r="J294" s="15"/>
      <c r="K294" s="15"/>
      <c r="L294" s="128" t="s">
        <v>511</v>
      </c>
      <c r="M294" s="128"/>
      <c r="N294" s="128">
        <f t="shared" si="52"/>
        <v>0</v>
      </c>
      <c r="O294" s="128"/>
      <c r="P294" s="38">
        <f t="shared" si="53"/>
        <v>0</v>
      </c>
      <c r="Q294" s="15"/>
      <c r="R294" s="212"/>
    </row>
    <row r="295" spans="1:18" ht="45">
      <c r="A295" s="128"/>
      <c r="B295" s="15"/>
      <c r="C295" s="15"/>
      <c r="D295" s="15" t="s">
        <v>155</v>
      </c>
      <c r="E295" s="15"/>
      <c r="F295" s="15"/>
      <c r="G295" s="15"/>
      <c r="H295" s="15"/>
      <c r="I295" s="15"/>
      <c r="J295" s="15"/>
      <c r="K295" s="15"/>
      <c r="L295" s="128" t="s">
        <v>511</v>
      </c>
      <c r="M295" s="128"/>
      <c r="N295" s="128">
        <f t="shared" si="52"/>
        <v>0</v>
      </c>
      <c r="O295" s="128"/>
      <c r="P295" s="38">
        <f t="shared" si="53"/>
        <v>0</v>
      </c>
      <c r="Q295" s="15"/>
      <c r="R295" s="212"/>
    </row>
    <row r="296" spans="1:18" ht="30">
      <c r="A296" s="128"/>
      <c r="B296" s="15"/>
      <c r="C296" s="15"/>
      <c r="D296" s="15" t="s">
        <v>154</v>
      </c>
      <c r="E296" s="15"/>
      <c r="F296" s="15"/>
      <c r="G296" s="15"/>
      <c r="H296" s="15"/>
      <c r="I296" s="15"/>
      <c r="J296" s="15"/>
      <c r="K296" s="15"/>
      <c r="L296" s="128" t="s">
        <v>509</v>
      </c>
      <c r="M296" s="128"/>
      <c r="N296" s="128">
        <f>M296/100000</f>
        <v>0</v>
      </c>
      <c r="O296" s="128"/>
      <c r="P296" s="38">
        <f>O296*N296</f>
        <v>0</v>
      </c>
      <c r="Q296" s="15"/>
      <c r="R296" s="212"/>
    </row>
    <row r="297" spans="1:18">
      <c r="A297" s="128"/>
      <c r="B297" s="15"/>
      <c r="C297" s="15"/>
      <c r="D297" s="15" t="s">
        <v>46</v>
      </c>
      <c r="E297" s="15"/>
      <c r="F297" s="15"/>
      <c r="G297" s="15"/>
      <c r="H297" s="15"/>
      <c r="I297" s="15"/>
      <c r="J297" s="15"/>
      <c r="K297" s="15"/>
      <c r="L297" s="128"/>
      <c r="M297" s="128"/>
      <c r="N297" s="128">
        <f t="shared" si="52"/>
        <v>0</v>
      </c>
      <c r="O297" s="128"/>
      <c r="P297" s="38">
        <f>O297*N297</f>
        <v>0</v>
      </c>
      <c r="Q297" s="15"/>
      <c r="R297" s="212"/>
    </row>
    <row r="298" spans="1:18">
      <c r="A298" s="128"/>
      <c r="B298" s="15"/>
      <c r="C298" s="15"/>
      <c r="D298" s="26" t="s">
        <v>64</v>
      </c>
      <c r="E298" s="15"/>
      <c r="F298" s="15"/>
      <c r="G298" s="15"/>
      <c r="H298" s="15"/>
      <c r="I298" s="15"/>
      <c r="J298" s="15"/>
      <c r="K298" s="15"/>
      <c r="L298" s="128"/>
      <c r="M298" s="128"/>
      <c r="N298" s="128"/>
      <c r="O298" s="128"/>
      <c r="P298" s="63">
        <f>SUM(P292:P297)</f>
        <v>5</v>
      </c>
      <c r="Q298" s="15"/>
      <c r="R298" s="212"/>
    </row>
    <row r="299" spans="1:18" s="204" customFormat="1" ht="22.5">
      <c r="A299" s="241"/>
      <c r="B299" s="181" t="s">
        <v>307</v>
      </c>
      <c r="C299" s="181" t="s">
        <v>129</v>
      </c>
      <c r="D299" s="181" t="s">
        <v>198</v>
      </c>
      <c r="E299" s="181" t="s">
        <v>626</v>
      </c>
      <c r="F299" s="181" t="s">
        <v>629</v>
      </c>
      <c r="G299" s="181"/>
      <c r="H299" s="181"/>
      <c r="I299" s="181">
        <v>256.94</v>
      </c>
      <c r="J299" s="181">
        <v>94.25</v>
      </c>
      <c r="K299" s="181"/>
      <c r="L299" s="200"/>
      <c r="M299" s="200"/>
      <c r="N299" s="200"/>
      <c r="O299" s="200"/>
      <c r="P299" s="67">
        <f>P300+P301+P302+P303+P305+P306+P308+P309+P311+P312+P314+P315+P318+P317+P319</f>
        <v>88.699999999999989</v>
      </c>
      <c r="Q299" s="181"/>
      <c r="R299" s="225"/>
    </row>
    <row r="300" spans="1:18">
      <c r="A300" s="128"/>
      <c r="B300" s="15"/>
      <c r="C300" s="15"/>
      <c r="D300" s="15" t="s">
        <v>156</v>
      </c>
      <c r="E300" s="15"/>
      <c r="F300" s="15"/>
      <c r="G300" s="15"/>
      <c r="H300" s="15"/>
      <c r="I300" s="15"/>
      <c r="J300" s="15"/>
      <c r="K300" s="15"/>
      <c r="L300" s="128" t="s">
        <v>492</v>
      </c>
      <c r="M300" s="128">
        <v>210000</v>
      </c>
      <c r="N300" s="128">
        <f>M300/100000</f>
        <v>2.1</v>
      </c>
      <c r="O300" s="128">
        <v>3</v>
      </c>
      <c r="P300" s="38">
        <f>N300*O300</f>
        <v>6.3000000000000007</v>
      </c>
      <c r="Q300" s="15"/>
      <c r="R300" s="212"/>
    </row>
    <row r="301" spans="1:18">
      <c r="A301" s="128"/>
      <c r="B301" s="15"/>
      <c r="C301" s="15"/>
      <c r="D301" s="15" t="s">
        <v>157</v>
      </c>
      <c r="E301" s="15"/>
      <c r="F301" s="15"/>
      <c r="G301" s="15"/>
      <c r="H301" s="15"/>
      <c r="I301" s="15"/>
      <c r="J301" s="15"/>
      <c r="K301" s="15"/>
      <c r="L301" s="128" t="s">
        <v>492</v>
      </c>
      <c r="M301" s="128"/>
      <c r="N301" s="128">
        <f t="shared" ref="N301:N303" si="54">M301/100000</f>
        <v>0</v>
      </c>
      <c r="O301" s="128"/>
      <c r="P301" s="38">
        <f t="shared" ref="P301:P303" si="55">N301*O301</f>
        <v>0</v>
      </c>
      <c r="Q301" s="15"/>
      <c r="R301" s="212"/>
    </row>
    <row r="302" spans="1:18">
      <c r="A302" s="128"/>
      <c r="B302" s="15"/>
      <c r="C302" s="15"/>
      <c r="D302" s="15" t="s">
        <v>158</v>
      </c>
      <c r="E302" s="15"/>
      <c r="F302" s="15"/>
      <c r="G302" s="15"/>
      <c r="H302" s="15"/>
      <c r="I302" s="15"/>
      <c r="J302" s="15"/>
      <c r="K302" s="15"/>
      <c r="L302" s="128" t="s">
        <v>492</v>
      </c>
      <c r="M302" s="128"/>
      <c r="N302" s="128">
        <f t="shared" si="54"/>
        <v>0</v>
      </c>
      <c r="O302" s="128"/>
      <c r="P302" s="38">
        <f t="shared" si="55"/>
        <v>0</v>
      </c>
      <c r="Q302" s="15"/>
      <c r="R302" s="212"/>
    </row>
    <row r="303" spans="1:18">
      <c r="A303" s="128"/>
      <c r="B303" s="15"/>
      <c r="C303" s="15"/>
      <c r="D303" s="15" t="s">
        <v>159</v>
      </c>
      <c r="E303" s="15"/>
      <c r="F303" s="15"/>
      <c r="G303" s="15"/>
      <c r="H303" s="15"/>
      <c r="I303" s="15"/>
      <c r="J303" s="15"/>
      <c r="K303" s="15"/>
      <c r="L303" s="128" t="s">
        <v>492</v>
      </c>
      <c r="M303" s="128"/>
      <c r="N303" s="128">
        <f t="shared" si="54"/>
        <v>0</v>
      </c>
      <c r="O303" s="128"/>
      <c r="P303" s="38">
        <f t="shared" si="55"/>
        <v>0</v>
      </c>
      <c r="Q303" s="15"/>
      <c r="R303" s="212"/>
    </row>
    <row r="304" spans="1:18">
      <c r="A304" s="128"/>
      <c r="B304" s="15"/>
      <c r="C304" s="15"/>
      <c r="D304" s="34" t="s">
        <v>160</v>
      </c>
      <c r="E304" s="378"/>
      <c r="F304" s="378"/>
      <c r="G304" s="378"/>
      <c r="H304" s="378"/>
      <c r="I304" s="378"/>
      <c r="J304" s="378"/>
      <c r="K304" s="378"/>
      <c r="L304" s="378"/>
      <c r="M304" s="378"/>
      <c r="N304" s="378"/>
      <c r="O304" s="378"/>
      <c r="P304" s="378"/>
      <c r="Q304" s="15"/>
      <c r="R304" s="212"/>
    </row>
    <row r="305" spans="1:18">
      <c r="A305" s="35"/>
      <c r="B305" s="34"/>
      <c r="C305" s="34"/>
      <c r="D305" s="37" t="s">
        <v>162</v>
      </c>
      <c r="E305" s="34"/>
      <c r="F305" s="34"/>
      <c r="G305" s="34"/>
      <c r="H305" s="34"/>
      <c r="I305" s="34"/>
      <c r="J305" s="34"/>
      <c r="K305" s="34"/>
      <c r="L305" s="128" t="s">
        <v>492</v>
      </c>
      <c r="M305" s="242">
        <v>20000</v>
      </c>
      <c r="N305" s="35">
        <f>M305/100000</f>
        <v>0.2</v>
      </c>
      <c r="O305" s="35">
        <v>226</v>
      </c>
      <c r="P305" s="60">
        <f>N305*O305</f>
        <v>45.2</v>
      </c>
      <c r="Q305" s="15"/>
      <c r="R305" s="212"/>
    </row>
    <row r="306" spans="1:18">
      <c r="A306" s="35"/>
      <c r="B306" s="34"/>
      <c r="C306" s="34"/>
      <c r="D306" s="37" t="s">
        <v>161</v>
      </c>
      <c r="E306" s="34"/>
      <c r="F306" s="34"/>
      <c r="G306" s="34"/>
      <c r="H306" s="34"/>
      <c r="I306" s="34"/>
      <c r="J306" s="34"/>
      <c r="K306" s="34"/>
      <c r="L306" s="128" t="s">
        <v>492</v>
      </c>
      <c r="M306" s="242">
        <v>20000</v>
      </c>
      <c r="N306" s="35">
        <f>M306/100000</f>
        <v>0.2</v>
      </c>
      <c r="O306" s="35">
        <v>13</v>
      </c>
      <c r="P306" s="60">
        <f>N306*O306</f>
        <v>2.6</v>
      </c>
      <c r="Q306" s="15"/>
      <c r="R306" s="212"/>
    </row>
    <row r="307" spans="1:18">
      <c r="A307" s="35"/>
      <c r="B307" s="34"/>
      <c r="C307" s="34"/>
      <c r="D307" s="28" t="s">
        <v>163</v>
      </c>
      <c r="E307" s="379"/>
      <c r="F307" s="379"/>
      <c r="G307" s="379"/>
      <c r="H307" s="379"/>
      <c r="I307" s="379"/>
      <c r="J307" s="379"/>
      <c r="K307" s="379"/>
      <c r="L307" s="379"/>
      <c r="M307" s="379"/>
      <c r="N307" s="379"/>
      <c r="O307" s="379"/>
      <c r="P307" s="379"/>
      <c r="Q307" s="15"/>
      <c r="R307" s="212"/>
    </row>
    <row r="308" spans="1:18">
      <c r="A308" s="35"/>
      <c r="B308" s="34"/>
      <c r="C308" s="34"/>
      <c r="D308" s="37" t="s">
        <v>162</v>
      </c>
      <c r="E308" s="34"/>
      <c r="F308" s="34"/>
      <c r="G308" s="34"/>
      <c r="H308" s="34"/>
      <c r="I308" s="34"/>
      <c r="J308" s="34"/>
      <c r="K308" s="34"/>
      <c r="L308" s="128" t="s">
        <v>492</v>
      </c>
      <c r="M308" s="242">
        <v>20000</v>
      </c>
      <c r="N308" s="35">
        <f>M308/100000</f>
        <v>0.2</v>
      </c>
      <c r="O308" s="35">
        <v>121</v>
      </c>
      <c r="P308" s="60">
        <f>N308*O308</f>
        <v>24.200000000000003</v>
      </c>
      <c r="Q308" s="15"/>
      <c r="R308" s="212"/>
    </row>
    <row r="309" spans="1:18">
      <c r="A309" s="35"/>
      <c r="B309" s="34"/>
      <c r="C309" s="34"/>
      <c r="D309" s="37" t="s">
        <v>161</v>
      </c>
      <c r="E309" s="34"/>
      <c r="F309" s="34"/>
      <c r="G309" s="34"/>
      <c r="H309" s="34"/>
      <c r="I309" s="34"/>
      <c r="J309" s="34"/>
      <c r="K309" s="34"/>
      <c r="L309" s="128" t="s">
        <v>492</v>
      </c>
      <c r="M309" s="242">
        <v>20000</v>
      </c>
      <c r="N309" s="35">
        <f>M309/100000</f>
        <v>0.2</v>
      </c>
      <c r="O309" s="35">
        <v>13</v>
      </c>
      <c r="P309" s="60">
        <f>N309*O309</f>
        <v>2.6</v>
      </c>
      <c r="Q309" s="15"/>
      <c r="R309" s="212"/>
    </row>
    <row r="310" spans="1:18">
      <c r="A310" s="35"/>
      <c r="B310" s="34"/>
      <c r="C310" s="34"/>
      <c r="D310" s="28" t="s">
        <v>164</v>
      </c>
      <c r="E310" s="379"/>
      <c r="F310" s="379"/>
      <c r="G310" s="379"/>
      <c r="H310" s="379"/>
      <c r="I310" s="379"/>
      <c r="J310" s="379"/>
      <c r="K310" s="379"/>
      <c r="L310" s="379"/>
      <c r="M310" s="379"/>
      <c r="N310" s="379"/>
      <c r="O310" s="379"/>
      <c r="P310" s="379"/>
      <c r="Q310" s="15"/>
      <c r="R310" s="212"/>
    </row>
    <row r="311" spans="1:18">
      <c r="A311" s="35"/>
      <c r="B311" s="34"/>
      <c r="C311" s="34"/>
      <c r="D311" s="37" t="s">
        <v>162</v>
      </c>
      <c r="E311" s="34"/>
      <c r="F311" s="34"/>
      <c r="G311" s="34"/>
      <c r="H311" s="34"/>
      <c r="I311" s="34"/>
      <c r="J311" s="34"/>
      <c r="K311" s="34"/>
      <c r="L311" s="128" t="s">
        <v>492</v>
      </c>
      <c r="M311" s="242">
        <v>20000</v>
      </c>
      <c r="N311" s="35">
        <f t="shared" ref="N311:N319" si="56">M311/100000</f>
        <v>0.2</v>
      </c>
      <c r="O311" s="35">
        <v>13</v>
      </c>
      <c r="P311" s="60">
        <f t="shared" ref="P311:P319" si="57">N311*O311</f>
        <v>2.6</v>
      </c>
      <c r="Q311" s="15"/>
      <c r="R311" s="212"/>
    </row>
    <row r="312" spans="1:18">
      <c r="A312" s="35"/>
      <c r="B312" s="34"/>
      <c r="C312" s="34"/>
      <c r="D312" s="37" t="s">
        <v>161</v>
      </c>
      <c r="E312" s="34"/>
      <c r="F312" s="34"/>
      <c r="G312" s="34"/>
      <c r="H312" s="34"/>
      <c r="I312" s="34"/>
      <c r="J312" s="34"/>
      <c r="K312" s="34"/>
      <c r="L312" s="128" t="s">
        <v>492</v>
      </c>
      <c r="M312" s="242"/>
      <c r="N312" s="35">
        <f t="shared" si="56"/>
        <v>0</v>
      </c>
      <c r="O312" s="35"/>
      <c r="P312" s="60">
        <f t="shared" si="57"/>
        <v>0</v>
      </c>
      <c r="Q312" s="15"/>
      <c r="R312" s="212"/>
    </row>
    <row r="313" spans="1:18" ht="30">
      <c r="A313" s="35"/>
      <c r="B313" s="34"/>
      <c r="C313" s="34"/>
      <c r="D313" s="28" t="s">
        <v>165</v>
      </c>
      <c r="E313" s="379"/>
      <c r="F313" s="379"/>
      <c r="G313" s="379"/>
      <c r="H313" s="379"/>
      <c r="I313" s="379"/>
      <c r="J313" s="379"/>
      <c r="K313" s="379"/>
      <c r="L313" s="379"/>
      <c r="M313" s="379"/>
      <c r="N313" s="379"/>
      <c r="O313" s="379"/>
      <c r="P313" s="379"/>
      <c r="Q313" s="15"/>
      <c r="R313" s="212"/>
    </row>
    <row r="314" spans="1:18">
      <c r="A314" s="35"/>
      <c r="B314" s="34"/>
      <c r="C314" s="34"/>
      <c r="D314" s="37" t="s">
        <v>162</v>
      </c>
      <c r="E314" s="34"/>
      <c r="F314" s="34"/>
      <c r="G314" s="34"/>
      <c r="H314" s="34"/>
      <c r="I314" s="34"/>
      <c r="J314" s="34"/>
      <c r="K314" s="34"/>
      <c r="L314" s="128" t="s">
        <v>492</v>
      </c>
      <c r="M314" s="242">
        <v>20000</v>
      </c>
      <c r="N314" s="35">
        <f t="shared" si="56"/>
        <v>0.2</v>
      </c>
      <c r="O314" s="35">
        <v>13</v>
      </c>
      <c r="P314" s="60">
        <f t="shared" si="57"/>
        <v>2.6</v>
      </c>
      <c r="Q314" s="15"/>
      <c r="R314" s="212"/>
    </row>
    <row r="315" spans="1:18">
      <c r="A315" s="35"/>
      <c r="B315" s="34"/>
      <c r="C315" s="34"/>
      <c r="D315" s="37" t="s">
        <v>161</v>
      </c>
      <c r="E315" s="34"/>
      <c r="F315" s="34"/>
      <c r="G315" s="34"/>
      <c r="H315" s="34"/>
      <c r="I315" s="34"/>
      <c r="J315" s="34"/>
      <c r="K315" s="34"/>
      <c r="L315" s="128" t="s">
        <v>492</v>
      </c>
      <c r="M315" s="35"/>
      <c r="N315" s="35">
        <f t="shared" si="56"/>
        <v>0</v>
      </c>
      <c r="O315" s="35"/>
      <c r="P315" s="60">
        <f t="shared" si="57"/>
        <v>0</v>
      </c>
      <c r="Q315" s="15"/>
      <c r="R315" s="212"/>
    </row>
    <row r="316" spans="1:18">
      <c r="A316" s="35"/>
      <c r="B316" s="34"/>
      <c r="C316" s="34"/>
      <c r="D316" s="28" t="s">
        <v>197</v>
      </c>
      <c r="E316" s="379"/>
      <c r="F316" s="379"/>
      <c r="G316" s="379"/>
      <c r="H316" s="379"/>
      <c r="I316" s="379"/>
      <c r="J316" s="379"/>
      <c r="K316" s="379"/>
      <c r="L316" s="379"/>
      <c r="M316" s="379"/>
      <c r="N316" s="379"/>
      <c r="O316" s="379"/>
      <c r="P316" s="379"/>
      <c r="Q316" s="15"/>
      <c r="R316" s="212"/>
    </row>
    <row r="317" spans="1:18">
      <c r="A317" s="35"/>
      <c r="B317" s="34"/>
      <c r="C317" s="34"/>
      <c r="D317" s="37" t="s">
        <v>162</v>
      </c>
      <c r="E317" s="34"/>
      <c r="F317" s="34"/>
      <c r="G317" s="34"/>
      <c r="H317" s="34"/>
      <c r="I317" s="34"/>
      <c r="J317" s="34"/>
      <c r="K317" s="34"/>
      <c r="L317" s="128" t="s">
        <v>492</v>
      </c>
      <c r="M317" s="242">
        <v>20000</v>
      </c>
      <c r="N317" s="35">
        <f t="shared" si="56"/>
        <v>0.2</v>
      </c>
      <c r="O317" s="35">
        <v>13</v>
      </c>
      <c r="P317" s="60">
        <f t="shared" si="57"/>
        <v>2.6</v>
      </c>
      <c r="Q317" s="15"/>
      <c r="R317" s="212"/>
    </row>
    <row r="318" spans="1:18">
      <c r="A318" s="35"/>
      <c r="B318" s="34"/>
      <c r="C318" s="34"/>
      <c r="D318" s="37" t="s">
        <v>161</v>
      </c>
      <c r="E318" s="34"/>
      <c r="F318" s="34"/>
      <c r="G318" s="34"/>
      <c r="H318" s="34"/>
      <c r="I318" s="34"/>
      <c r="J318" s="34"/>
      <c r="K318" s="34"/>
      <c r="L318" s="128" t="s">
        <v>492</v>
      </c>
      <c r="M318" s="35"/>
      <c r="N318" s="35">
        <f t="shared" si="56"/>
        <v>0</v>
      </c>
      <c r="O318" s="35"/>
      <c r="P318" s="60">
        <f t="shared" si="57"/>
        <v>0</v>
      </c>
      <c r="Q318" s="15"/>
      <c r="R318" s="212"/>
    </row>
    <row r="319" spans="1:18">
      <c r="A319" s="35"/>
      <c r="B319" s="34"/>
      <c r="C319" s="34"/>
      <c r="D319" s="28" t="s">
        <v>170</v>
      </c>
      <c r="E319" s="34"/>
      <c r="F319" s="34"/>
      <c r="G319" s="34"/>
      <c r="H319" s="34"/>
      <c r="I319" s="34"/>
      <c r="J319" s="34"/>
      <c r="K319" s="34"/>
      <c r="L319" s="35"/>
      <c r="M319" s="35"/>
      <c r="N319" s="35">
        <f t="shared" si="56"/>
        <v>0</v>
      </c>
      <c r="O319" s="35"/>
      <c r="P319" s="60">
        <f t="shared" si="57"/>
        <v>0</v>
      </c>
      <c r="Q319" s="15"/>
      <c r="R319" s="212"/>
    </row>
    <row r="320" spans="1:18" ht="22.5">
      <c r="A320" s="128"/>
      <c r="B320" s="8" t="s">
        <v>308</v>
      </c>
      <c r="C320" s="8" t="s">
        <v>130</v>
      </c>
      <c r="D320" s="8" t="s">
        <v>131</v>
      </c>
      <c r="E320" s="181" t="s">
        <v>626</v>
      </c>
      <c r="F320" s="181" t="s">
        <v>629</v>
      </c>
      <c r="G320" s="8"/>
      <c r="H320" s="8"/>
      <c r="I320" s="8"/>
      <c r="J320" s="8"/>
      <c r="K320" s="8"/>
      <c r="L320" s="103"/>
      <c r="M320" s="103"/>
      <c r="N320" s="103"/>
      <c r="O320" s="103"/>
      <c r="P320" s="67">
        <f>P321+P322+P323+P325+P326+P327</f>
        <v>82.2</v>
      </c>
      <c r="Q320" s="8"/>
      <c r="R320" s="212"/>
    </row>
    <row r="321" spans="1:18">
      <c r="A321" s="128"/>
      <c r="B321" s="15"/>
      <c r="C321" s="15"/>
      <c r="D321" s="27" t="s">
        <v>156</v>
      </c>
      <c r="E321" s="15"/>
      <c r="F321" s="15"/>
      <c r="G321" s="15"/>
      <c r="H321" s="15"/>
      <c r="I321" s="15"/>
      <c r="J321" s="15"/>
      <c r="K321" s="15"/>
      <c r="L321" s="128" t="s">
        <v>492</v>
      </c>
      <c r="M321" s="242">
        <v>35000</v>
      </c>
      <c r="N321" s="128">
        <f t="shared" ref="N321:N322" si="58">M321/100000</f>
        <v>0.35</v>
      </c>
      <c r="O321" s="128">
        <v>12</v>
      </c>
      <c r="P321" s="38">
        <f>N321*O321</f>
        <v>4.1999999999999993</v>
      </c>
      <c r="Q321" s="15"/>
      <c r="R321" s="212"/>
    </row>
    <row r="322" spans="1:18">
      <c r="A322" s="128"/>
      <c r="B322" s="15"/>
      <c r="C322" s="15"/>
      <c r="D322" s="27" t="s">
        <v>157</v>
      </c>
      <c r="E322" s="15"/>
      <c r="F322" s="15"/>
      <c r="G322" s="15"/>
      <c r="H322" s="15"/>
      <c r="I322" s="15"/>
      <c r="J322" s="15"/>
      <c r="K322" s="15"/>
      <c r="L322" s="128" t="s">
        <v>492</v>
      </c>
      <c r="M322" s="128"/>
      <c r="N322" s="128">
        <f t="shared" si="58"/>
        <v>0</v>
      </c>
      <c r="O322" s="128"/>
      <c r="P322" s="38">
        <f>N322*O322</f>
        <v>0</v>
      </c>
      <c r="Q322" s="15"/>
      <c r="R322" s="212"/>
    </row>
    <row r="323" spans="1:18">
      <c r="A323" s="128"/>
      <c r="B323" s="15"/>
      <c r="C323" s="15"/>
      <c r="D323" s="27" t="s">
        <v>166</v>
      </c>
      <c r="E323" s="15"/>
      <c r="F323" s="15"/>
      <c r="G323" s="15"/>
      <c r="H323" s="15"/>
      <c r="I323" s="15"/>
      <c r="J323" s="15"/>
      <c r="K323" s="15"/>
      <c r="L323" s="128" t="s">
        <v>492</v>
      </c>
      <c r="M323" s="242">
        <v>35000</v>
      </c>
      <c r="N323" s="38">
        <f>M323/100000</f>
        <v>0.35</v>
      </c>
      <c r="O323" s="128">
        <v>156</v>
      </c>
      <c r="P323" s="38">
        <f>N323*O323</f>
        <v>54.599999999999994</v>
      </c>
      <c r="Q323" s="15"/>
      <c r="R323" s="212"/>
    </row>
    <row r="324" spans="1:18">
      <c r="A324" s="128"/>
      <c r="B324" s="15"/>
      <c r="C324" s="15"/>
      <c r="D324" s="34" t="s">
        <v>167</v>
      </c>
      <c r="E324" s="378"/>
      <c r="F324" s="378"/>
      <c r="G324" s="378"/>
      <c r="H324" s="378"/>
      <c r="I324" s="378"/>
      <c r="J324" s="378"/>
      <c r="K324" s="378"/>
      <c r="L324" s="378"/>
      <c r="M324" s="378"/>
      <c r="N324" s="378"/>
      <c r="O324" s="378"/>
      <c r="P324" s="378"/>
      <c r="Q324" s="15"/>
      <c r="R324" s="212"/>
    </row>
    <row r="325" spans="1:18">
      <c r="A325" s="128"/>
      <c r="B325" s="15"/>
      <c r="C325" s="15"/>
      <c r="D325" s="16" t="s">
        <v>162</v>
      </c>
      <c r="E325" s="15"/>
      <c r="F325" s="15"/>
      <c r="G325" s="15"/>
      <c r="H325" s="15"/>
      <c r="I325" s="15"/>
      <c r="J325" s="15"/>
      <c r="K325" s="15"/>
      <c r="L325" s="128" t="s">
        <v>492</v>
      </c>
      <c r="M325" s="242">
        <v>10000</v>
      </c>
      <c r="N325" s="38">
        <f>M325/100000</f>
        <v>0.1</v>
      </c>
      <c r="O325" s="128">
        <v>206</v>
      </c>
      <c r="P325" s="38">
        <f>N325*O325</f>
        <v>20.6</v>
      </c>
      <c r="Q325" s="15"/>
      <c r="R325" s="212"/>
    </row>
    <row r="326" spans="1:18">
      <c r="A326" s="128"/>
      <c r="B326" s="15"/>
      <c r="C326" s="15"/>
      <c r="D326" s="16" t="s">
        <v>161</v>
      </c>
      <c r="E326" s="15"/>
      <c r="F326" s="15"/>
      <c r="G326" s="15"/>
      <c r="H326" s="15"/>
      <c r="I326" s="15"/>
      <c r="J326" s="15"/>
      <c r="K326" s="15"/>
      <c r="L326" s="128" t="s">
        <v>492</v>
      </c>
      <c r="M326" s="242">
        <v>10000</v>
      </c>
      <c r="N326" s="38">
        <f>M326/100000</f>
        <v>0.1</v>
      </c>
      <c r="O326" s="128">
        <v>28</v>
      </c>
      <c r="P326" s="38">
        <f>N326*O326</f>
        <v>2.8000000000000003</v>
      </c>
      <c r="Q326" s="15"/>
      <c r="R326" s="212"/>
    </row>
    <row r="327" spans="1:18" s="144" customFormat="1">
      <c r="A327" s="35"/>
      <c r="B327" s="34"/>
      <c r="C327" s="34"/>
      <c r="D327" s="28" t="s">
        <v>170</v>
      </c>
      <c r="E327" s="34"/>
      <c r="F327" s="34"/>
      <c r="G327" s="34"/>
      <c r="H327" s="34"/>
      <c r="I327" s="34"/>
      <c r="J327" s="34"/>
      <c r="K327" s="34"/>
      <c r="L327" s="35"/>
      <c r="M327" s="35"/>
      <c r="N327" s="60">
        <f>M327/100000</f>
        <v>0</v>
      </c>
      <c r="O327" s="35"/>
      <c r="P327" s="60">
        <f>N327*O327</f>
        <v>0</v>
      </c>
      <c r="Q327" s="34"/>
      <c r="R327" s="214"/>
    </row>
    <row r="328" spans="1:18" ht="33.75">
      <c r="A328" s="128"/>
      <c r="B328" s="8" t="s">
        <v>355</v>
      </c>
      <c r="C328" s="8" t="s">
        <v>99</v>
      </c>
      <c r="D328" s="8" t="s">
        <v>168</v>
      </c>
      <c r="E328" s="181" t="s">
        <v>626</v>
      </c>
      <c r="F328" s="181" t="s">
        <v>629</v>
      </c>
      <c r="G328" s="8"/>
      <c r="H328" s="8"/>
      <c r="I328" s="8"/>
      <c r="J328" s="8"/>
      <c r="K328" s="8"/>
      <c r="L328" s="103"/>
      <c r="M328" s="103"/>
      <c r="N328" s="103"/>
      <c r="O328" s="103"/>
      <c r="P328" s="66">
        <f>P329+P330</f>
        <v>0</v>
      </c>
      <c r="Q328" s="8"/>
      <c r="R328" s="212"/>
    </row>
    <row r="329" spans="1:18" ht="30">
      <c r="A329" s="128"/>
      <c r="B329" s="27"/>
      <c r="C329" s="27"/>
      <c r="D329" s="27" t="s">
        <v>169</v>
      </c>
      <c r="E329" s="27"/>
      <c r="F329" s="27"/>
      <c r="G329" s="27"/>
      <c r="H329" s="27"/>
      <c r="I329" s="27"/>
      <c r="J329" s="27"/>
      <c r="K329" s="27"/>
      <c r="L329" s="128" t="s">
        <v>538</v>
      </c>
      <c r="M329" s="242"/>
      <c r="N329" s="60">
        <f t="shared" ref="N329:N330" si="59">M329/100000</f>
        <v>0</v>
      </c>
      <c r="O329" s="128"/>
      <c r="P329" s="38">
        <f t="shared" ref="P329:P330" si="60">N329*O329</f>
        <v>0</v>
      </c>
      <c r="Q329" s="15"/>
      <c r="R329" s="212"/>
    </row>
    <row r="330" spans="1:18">
      <c r="A330" s="128"/>
      <c r="B330" s="27"/>
      <c r="C330" s="27"/>
      <c r="D330" s="27" t="s">
        <v>170</v>
      </c>
      <c r="E330" s="27"/>
      <c r="F330" s="27"/>
      <c r="G330" s="27"/>
      <c r="H330" s="27"/>
      <c r="I330" s="27"/>
      <c r="J330" s="27"/>
      <c r="K330" s="27"/>
      <c r="L330" s="128"/>
      <c r="M330" s="242"/>
      <c r="N330" s="60">
        <f t="shared" si="59"/>
        <v>0</v>
      </c>
      <c r="O330" s="128"/>
      <c r="P330" s="38">
        <f t="shared" si="60"/>
        <v>0</v>
      </c>
      <c r="Q330" s="15"/>
      <c r="R330" s="212"/>
    </row>
    <row r="331" spans="1:18" ht="22.5">
      <c r="A331" s="128"/>
      <c r="B331" s="8" t="s">
        <v>309</v>
      </c>
      <c r="C331" s="8" t="s">
        <v>78</v>
      </c>
      <c r="D331" s="8" t="s">
        <v>171</v>
      </c>
      <c r="E331" s="181" t="s">
        <v>626</v>
      </c>
      <c r="F331" s="181" t="s">
        <v>629</v>
      </c>
      <c r="G331" s="8"/>
      <c r="H331" s="8"/>
      <c r="I331" s="8"/>
      <c r="J331" s="8"/>
      <c r="K331" s="8"/>
      <c r="L331" s="103"/>
      <c r="M331" s="103"/>
      <c r="N331" s="103"/>
      <c r="O331" s="103"/>
      <c r="P331" s="67">
        <f>P340+P351</f>
        <v>152.1</v>
      </c>
      <c r="Q331" s="8"/>
      <c r="R331" s="212"/>
    </row>
    <row r="332" spans="1:18">
      <c r="A332" s="128"/>
      <c r="B332" s="15"/>
      <c r="C332" s="15"/>
      <c r="D332" s="111" t="s">
        <v>37</v>
      </c>
      <c r="E332" s="112"/>
      <c r="F332" s="112"/>
      <c r="G332" s="112"/>
      <c r="H332" s="112"/>
      <c r="I332" s="112"/>
      <c r="J332" s="112"/>
      <c r="K332" s="112"/>
      <c r="L332" s="127"/>
      <c r="M332" s="127"/>
      <c r="N332" s="127"/>
      <c r="O332" s="127"/>
      <c r="P332" s="113">
        <f>P340+P351</f>
        <v>152.1</v>
      </c>
      <c r="Q332" s="15"/>
      <c r="R332" s="212"/>
    </row>
    <row r="333" spans="1:18">
      <c r="A333" s="128"/>
      <c r="B333" s="15"/>
      <c r="C333" s="15"/>
      <c r="D333" s="27" t="s">
        <v>172</v>
      </c>
      <c r="E333" s="15"/>
      <c r="F333" s="15"/>
      <c r="G333" s="15"/>
      <c r="H333" s="15"/>
      <c r="I333" s="15"/>
      <c r="J333" s="15"/>
      <c r="K333" s="15"/>
      <c r="L333" s="128" t="s">
        <v>538</v>
      </c>
      <c r="M333" s="128">
        <v>1500000</v>
      </c>
      <c r="N333" s="128">
        <f t="shared" ref="N333:N339" si="61">M333/100000</f>
        <v>15</v>
      </c>
      <c r="O333" s="128">
        <v>1</v>
      </c>
      <c r="P333" s="38">
        <f>N333*O333</f>
        <v>15</v>
      </c>
      <c r="Q333" s="15"/>
      <c r="R333" s="212"/>
    </row>
    <row r="334" spans="1:18">
      <c r="A334" s="128"/>
      <c r="B334" s="15"/>
      <c r="C334" s="15"/>
      <c r="D334" s="27" t="s">
        <v>173</v>
      </c>
      <c r="E334" s="15"/>
      <c r="F334" s="15"/>
      <c r="G334" s="15"/>
      <c r="H334" s="15"/>
      <c r="I334" s="15"/>
      <c r="J334" s="15"/>
      <c r="K334" s="15"/>
      <c r="L334" s="128" t="s">
        <v>538</v>
      </c>
      <c r="M334" s="128">
        <v>250000</v>
      </c>
      <c r="N334" s="128">
        <f t="shared" si="61"/>
        <v>2.5</v>
      </c>
      <c r="O334" s="128">
        <v>1</v>
      </c>
      <c r="P334" s="38">
        <f t="shared" ref="P334:P337" si="62">N334*O334</f>
        <v>2.5</v>
      </c>
      <c r="Q334" s="15"/>
      <c r="R334" s="212"/>
    </row>
    <row r="335" spans="1:18">
      <c r="A335" s="128"/>
      <c r="B335" s="15"/>
      <c r="C335" s="15"/>
      <c r="D335" s="27" t="s">
        <v>27</v>
      </c>
      <c r="E335" s="15"/>
      <c r="F335" s="15"/>
      <c r="G335" s="15"/>
      <c r="H335" s="15"/>
      <c r="I335" s="15"/>
      <c r="J335" s="15"/>
      <c r="K335" s="15"/>
      <c r="L335" s="128" t="s">
        <v>538</v>
      </c>
      <c r="M335" s="128">
        <v>250000</v>
      </c>
      <c r="N335" s="128">
        <f t="shared" si="61"/>
        <v>2.5</v>
      </c>
      <c r="O335" s="128">
        <v>1</v>
      </c>
      <c r="P335" s="38">
        <f t="shared" si="62"/>
        <v>2.5</v>
      </c>
      <c r="Q335" s="34"/>
      <c r="R335" s="212"/>
    </row>
    <row r="336" spans="1:18">
      <c r="A336" s="128"/>
      <c r="B336" s="15"/>
      <c r="C336" s="15"/>
      <c r="D336" s="27" t="s">
        <v>26</v>
      </c>
      <c r="E336" s="15"/>
      <c r="F336" s="15"/>
      <c r="G336" s="15"/>
      <c r="H336" s="15"/>
      <c r="I336" s="15"/>
      <c r="J336" s="15"/>
      <c r="K336" s="15"/>
      <c r="L336" s="128" t="s">
        <v>538</v>
      </c>
      <c r="M336" s="128">
        <v>250000</v>
      </c>
      <c r="N336" s="128">
        <f t="shared" si="61"/>
        <v>2.5</v>
      </c>
      <c r="O336" s="128">
        <v>1</v>
      </c>
      <c r="P336" s="38">
        <f t="shared" si="62"/>
        <v>2.5</v>
      </c>
      <c r="Q336" s="34"/>
      <c r="R336" s="212"/>
    </row>
    <row r="337" spans="1:18">
      <c r="A337" s="128"/>
      <c r="B337" s="15"/>
      <c r="C337" s="15"/>
      <c r="D337" s="27" t="s">
        <v>174</v>
      </c>
      <c r="E337" s="15"/>
      <c r="F337" s="15"/>
      <c r="G337" s="15"/>
      <c r="H337" s="15"/>
      <c r="I337" s="15"/>
      <c r="J337" s="15"/>
      <c r="K337" s="15"/>
      <c r="L337" s="128" t="s">
        <v>538</v>
      </c>
      <c r="M337" s="128">
        <v>250000</v>
      </c>
      <c r="N337" s="128">
        <f t="shared" si="61"/>
        <v>2.5</v>
      </c>
      <c r="O337" s="128">
        <v>1</v>
      </c>
      <c r="P337" s="38">
        <f t="shared" si="62"/>
        <v>2.5</v>
      </c>
      <c r="Q337" s="34"/>
      <c r="R337" s="212"/>
    </row>
    <row r="338" spans="1:18" ht="30">
      <c r="A338" s="128"/>
      <c r="B338" s="15"/>
      <c r="C338" s="15"/>
      <c r="D338" s="27" t="s">
        <v>292</v>
      </c>
      <c r="E338" s="15"/>
      <c r="F338" s="15"/>
      <c r="G338" s="15"/>
      <c r="H338" s="15"/>
      <c r="I338" s="15"/>
      <c r="J338" s="15"/>
      <c r="K338" s="15"/>
      <c r="L338" s="128" t="s">
        <v>512</v>
      </c>
      <c r="M338" s="128">
        <v>168000</v>
      </c>
      <c r="N338" s="128">
        <f t="shared" si="61"/>
        <v>1.68</v>
      </c>
      <c r="O338" s="128">
        <v>1</v>
      </c>
      <c r="P338" s="38">
        <f>N338*O338</f>
        <v>1.68</v>
      </c>
      <c r="Q338" s="34"/>
      <c r="R338" s="212"/>
    </row>
    <row r="339" spans="1:18" ht="30">
      <c r="A339" s="128"/>
      <c r="B339" s="15"/>
      <c r="C339" s="15"/>
      <c r="D339" s="27" t="s">
        <v>293</v>
      </c>
      <c r="E339" s="15"/>
      <c r="F339" s="15"/>
      <c r="G339" s="15"/>
      <c r="H339" s="15"/>
      <c r="I339" s="15"/>
      <c r="J339" s="15"/>
      <c r="K339" s="15"/>
      <c r="L339" s="128" t="s">
        <v>513</v>
      </c>
      <c r="M339" s="128">
        <v>126000</v>
      </c>
      <c r="N339" s="128">
        <f t="shared" si="61"/>
        <v>1.26</v>
      </c>
      <c r="O339" s="128">
        <v>1</v>
      </c>
      <c r="P339" s="38">
        <f>N339*O339</f>
        <v>1.26</v>
      </c>
      <c r="Q339" s="15"/>
      <c r="R339" s="212"/>
    </row>
    <row r="340" spans="1:18">
      <c r="A340" s="128"/>
      <c r="B340" s="15"/>
      <c r="C340" s="15"/>
      <c r="D340" s="30" t="s">
        <v>47</v>
      </c>
      <c r="E340" s="15"/>
      <c r="F340" s="15"/>
      <c r="G340" s="15"/>
      <c r="H340" s="15"/>
      <c r="I340" s="15"/>
      <c r="J340" s="15"/>
      <c r="K340" s="15"/>
      <c r="L340" s="128"/>
      <c r="M340" s="128"/>
      <c r="N340" s="128"/>
      <c r="O340" s="128"/>
      <c r="P340" s="63">
        <f>SUM(P333:P339)</f>
        <v>27.94</v>
      </c>
      <c r="Q340" s="15"/>
      <c r="R340" s="212"/>
    </row>
    <row r="341" spans="1:18">
      <c r="A341" s="128"/>
      <c r="B341" s="15"/>
      <c r="C341" s="15"/>
      <c r="D341" s="111" t="s">
        <v>48</v>
      </c>
      <c r="E341" s="112"/>
      <c r="F341" s="112"/>
      <c r="G341" s="112"/>
      <c r="H341" s="112"/>
      <c r="I341" s="112"/>
      <c r="J341" s="112"/>
      <c r="K341" s="112"/>
      <c r="L341" s="127"/>
      <c r="M341" s="127"/>
      <c r="N341" s="127"/>
      <c r="O341" s="127"/>
      <c r="P341" s="113"/>
      <c r="Q341" s="15"/>
      <c r="R341" s="212"/>
    </row>
    <row r="342" spans="1:18" s="144" customFormat="1" ht="30">
      <c r="A342" s="35"/>
      <c r="B342" s="34"/>
      <c r="C342" s="34"/>
      <c r="D342" s="28" t="s">
        <v>175</v>
      </c>
      <c r="E342" s="34"/>
      <c r="F342" s="34"/>
      <c r="G342" s="34"/>
      <c r="H342" s="34"/>
      <c r="I342" s="34"/>
      <c r="J342" s="34"/>
      <c r="K342" s="34"/>
      <c r="L342" s="35" t="s">
        <v>514</v>
      </c>
      <c r="M342" s="242">
        <v>365000</v>
      </c>
      <c r="N342" s="35">
        <f>M342/100000</f>
        <v>3.65</v>
      </c>
      <c r="O342" s="35">
        <v>28</v>
      </c>
      <c r="P342" s="60">
        <f>N342*O342</f>
        <v>102.2</v>
      </c>
      <c r="Q342" s="34"/>
      <c r="R342" s="214"/>
    </row>
    <row r="343" spans="1:18" ht="30">
      <c r="A343" s="128"/>
      <c r="B343" s="15"/>
      <c r="C343" s="15"/>
      <c r="D343" s="27" t="s">
        <v>176</v>
      </c>
      <c r="E343" s="15"/>
      <c r="F343" s="15"/>
      <c r="G343" s="15"/>
      <c r="H343" s="15"/>
      <c r="I343" s="15"/>
      <c r="J343" s="15"/>
      <c r="K343" s="15"/>
      <c r="L343" s="128" t="s">
        <v>515</v>
      </c>
      <c r="M343" s="128"/>
      <c r="N343" s="35">
        <f t="shared" ref="N343:N350" si="63">M343/100000</f>
        <v>0</v>
      </c>
      <c r="O343" s="128"/>
      <c r="P343" s="60">
        <f t="shared" ref="P343:P350" si="64">N343*O343</f>
        <v>0</v>
      </c>
      <c r="Q343" s="15"/>
      <c r="R343" s="212"/>
    </row>
    <row r="344" spans="1:18" ht="30">
      <c r="A344" s="128"/>
      <c r="B344" s="15"/>
      <c r="C344" s="15"/>
      <c r="D344" s="27" t="s">
        <v>177</v>
      </c>
      <c r="E344" s="15"/>
      <c r="F344" s="15"/>
      <c r="G344" s="15"/>
      <c r="H344" s="15"/>
      <c r="I344" s="15"/>
      <c r="J344" s="15"/>
      <c r="K344" s="15"/>
      <c r="L344" s="128" t="s">
        <v>515</v>
      </c>
      <c r="M344" s="128"/>
      <c r="N344" s="35">
        <f t="shared" si="63"/>
        <v>0</v>
      </c>
      <c r="O344" s="128"/>
      <c r="P344" s="60">
        <f t="shared" si="64"/>
        <v>0</v>
      </c>
      <c r="Q344" s="15"/>
      <c r="R344" s="212"/>
    </row>
    <row r="345" spans="1:18" ht="30">
      <c r="A345" s="128"/>
      <c r="B345" s="15"/>
      <c r="C345" s="15"/>
      <c r="D345" s="27" t="s">
        <v>178</v>
      </c>
      <c r="E345" s="15"/>
      <c r="F345" s="15"/>
      <c r="G345" s="15"/>
      <c r="H345" s="15"/>
      <c r="I345" s="15"/>
      <c r="J345" s="15"/>
      <c r="K345" s="15"/>
      <c r="L345" s="128" t="s">
        <v>509</v>
      </c>
      <c r="M345" s="128"/>
      <c r="N345" s="35">
        <f t="shared" si="63"/>
        <v>0</v>
      </c>
      <c r="O345" s="128"/>
      <c r="P345" s="60">
        <f t="shared" si="64"/>
        <v>0</v>
      </c>
      <c r="Q345" s="34"/>
      <c r="R345" s="212"/>
    </row>
    <row r="346" spans="1:18">
      <c r="A346" s="128"/>
      <c r="B346" s="15"/>
      <c r="C346" s="15"/>
      <c r="D346" s="27" t="s">
        <v>148</v>
      </c>
      <c r="E346" s="15"/>
      <c r="F346" s="15"/>
      <c r="G346" s="15"/>
      <c r="H346" s="15"/>
      <c r="I346" s="15"/>
      <c r="J346" s="15"/>
      <c r="K346" s="15"/>
      <c r="L346" s="128"/>
      <c r="M346" s="128"/>
      <c r="N346" s="35">
        <f t="shared" si="63"/>
        <v>0</v>
      </c>
      <c r="O346" s="128"/>
      <c r="P346" s="60">
        <f t="shared" si="64"/>
        <v>0</v>
      </c>
      <c r="Q346" s="15"/>
      <c r="R346" s="212"/>
    </row>
    <row r="347" spans="1:18">
      <c r="A347" s="128"/>
      <c r="B347" s="15"/>
      <c r="C347" s="15"/>
      <c r="D347" s="27" t="s">
        <v>179</v>
      </c>
      <c r="E347" s="15"/>
      <c r="F347" s="15"/>
      <c r="G347" s="15"/>
      <c r="H347" s="15"/>
      <c r="I347" s="15"/>
      <c r="J347" s="15"/>
      <c r="K347" s="15"/>
      <c r="L347" s="128" t="s">
        <v>538</v>
      </c>
      <c r="M347" s="128"/>
      <c r="N347" s="35">
        <f t="shared" si="63"/>
        <v>0</v>
      </c>
      <c r="O347" s="128"/>
      <c r="P347" s="60">
        <f t="shared" si="64"/>
        <v>0</v>
      </c>
      <c r="Q347" s="15"/>
      <c r="R347" s="212"/>
    </row>
    <row r="348" spans="1:18">
      <c r="A348" s="128"/>
      <c r="B348" s="15"/>
      <c r="C348" s="15"/>
      <c r="D348" s="27" t="s">
        <v>180</v>
      </c>
      <c r="E348" s="15"/>
      <c r="F348" s="15"/>
      <c r="G348" s="15"/>
      <c r="H348" s="15"/>
      <c r="I348" s="15"/>
      <c r="J348" s="15"/>
      <c r="K348" s="15"/>
      <c r="L348" s="128" t="s">
        <v>538</v>
      </c>
      <c r="M348" s="128"/>
      <c r="N348" s="35">
        <f t="shared" si="63"/>
        <v>0</v>
      </c>
      <c r="O348" s="128"/>
      <c r="P348" s="60">
        <f t="shared" si="64"/>
        <v>0</v>
      </c>
      <c r="Q348" s="15"/>
      <c r="R348" s="212"/>
    </row>
    <row r="349" spans="1:18">
      <c r="A349" s="128"/>
      <c r="B349" s="15"/>
      <c r="C349" s="15"/>
      <c r="D349" s="27" t="s">
        <v>286</v>
      </c>
      <c r="E349" s="15"/>
      <c r="F349" s="15"/>
      <c r="G349" s="15"/>
      <c r="H349" s="15"/>
      <c r="I349" s="15"/>
      <c r="J349" s="15"/>
      <c r="K349" s="15"/>
      <c r="L349" s="128" t="s">
        <v>516</v>
      </c>
      <c r="M349" s="128">
        <v>3600</v>
      </c>
      <c r="N349" s="35">
        <f t="shared" si="63"/>
        <v>3.5999999999999997E-2</v>
      </c>
      <c r="O349" s="128">
        <v>610</v>
      </c>
      <c r="P349" s="60">
        <f t="shared" si="64"/>
        <v>21.959999999999997</v>
      </c>
      <c r="Q349" s="15"/>
      <c r="R349" s="212"/>
    </row>
    <row r="350" spans="1:18">
      <c r="A350" s="128"/>
      <c r="B350" s="15"/>
      <c r="C350" s="15"/>
      <c r="D350" s="27" t="s">
        <v>181</v>
      </c>
      <c r="E350" s="15"/>
      <c r="F350" s="15"/>
      <c r="G350" s="15"/>
      <c r="H350" s="15"/>
      <c r="I350" s="15"/>
      <c r="J350" s="15"/>
      <c r="K350" s="15"/>
      <c r="L350" s="128"/>
      <c r="M350" s="128"/>
      <c r="N350" s="35">
        <f t="shared" si="63"/>
        <v>0</v>
      </c>
      <c r="O350" s="128"/>
      <c r="P350" s="60">
        <f t="shared" si="64"/>
        <v>0</v>
      </c>
      <c r="Q350" s="15"/>
      <c r="R350" s="212"/>
    </row>
    <row r="351" spans="1:18">
      <c r="A351" s="128"/>
      <c r="B351" s="15"/>
      <c r="C351" s="15"/>
      <c r="D351" s="30" t="s">
        <v>64</v>
      </c>
      <c r="E351" s="15"/>
      <c r="F351" s="15"/>
      <c r="G351" s="15"/>
      <c r="H351" s="15"/>
      <c r="I351" s="15"/>
      <c r="J351" s="15"/>
      <c r="K351" s="15"/>
      <c r="L351" s="128"/>
      <c r="M351" s="128"/>
      <c r="N351" s="128"/>
      <c r="O351" s="128"/>
      <c r="P351" s="63">
        <f>SUM(P342:P350)</f>
        <v>124.16</v>
      </c>
      <c r="Q351" s="15"/>
      <c r="R351" s="212"/>
    </row>
    <row r="352" spans="1:18" ht="14.45" customHeight="1">
      <c r="A352" s="236">
        <v>17</v>
      </c>
      <c r="B352" s="377" t="s">
        <v>617</v>
      </c>
      <c r="C352" s="377"/>
      <c r="D352" s="377"/>
      <c r="E352" s="377"/>
      <c r="F352" s="377"/>
      <c r="G352" s="377"/>
      <c r="H352" s="377"/>
      <c r="I352" s="377"/>
      <c r="J352" s="377"/>
      <c r="K352" s="377"/>
      <c r="L352" s="377"/>
      <c r="M352" s="377"/>
      <c r="N352" s="377"/>
      <c r="O352" s="377"/>
      <c r="P352" s="64"/>
      <c r="Q352" s="22"/>
      <c r="R352" s="212" t="s">
        <v>273</v>
      </c>
    </row>
    <row r="353" spans="1:18" ht="14.45" customHeight="1">
      <c r="A353" s="236">
        <v>18</v>
      </c>
      <c r="B353" s="377" t="s">
        <v>618</v>
      </c>
      <c r="C353" s="377"/>
      <c r="D353" s="377"/>
      <c r="E353" s="377"/>
      <c r="F353" s="377"/>
      <c r="G353" s="377"/>
      <c r="H353" s="377"/>
      <c r="I353" s="377"/>
      <c r="J353" s="377"/>
      <c r="K353" s="377"/>
      <c r="L353" s="377"/>
      <c r="M353" s="377"/>
      <c r="N353" s="377"/>
      <c r="O353" s="377"/>
      <c r="P353" s="64">
        <f>P354+P356+P364+P382+P403+P411+P414</f>
        <v>0</v>
      </c>
      <c r="Q353" s="22"/>
      <c r="R353" s="212" t="s">
        <v>273</v>
      </c>
    </row>
    <row r="354" spans="1:18" s="143" customFormat="1">
      <c r="A354" s="29"/>
      <c r="B354" s="142">
        <v>18.3</v>
      </c>
      <c r="C354" s="32"/>
      <c r="D354" s="32" t="s">
        <v>619</v>
      </c>
      <c r="E354" s="32" t="s">
        <v>626</v>
      </c>
      <c r="F354" s="32"/>
      <c r="G354" s="32"/>
      <c r="H354" s="32"/>
      <c r="I354" s="32"/>
      <c r="J354" s="32"/>
      <c r="K354" s="32"/>
      <c r="L354" s="29"/>
      <c r="M354" s="29"/>
      <c r="N354" s="29">
        <f>M354/100000</f>
        <v>0</v>
      </c>
      <c r="O354" s="29"/>
      <c r="P354" s="106">
        <f>N354*O354</f>
        <v>0</v>
      </c>
      <c r="Q354" s="32"/>
    </row>
    <row r="355" spans="1:18" s="205" customFormat="1" ht="30">
      <c r="A355" s="236"/>
      <c r="B355" s="22" t="s">
        <v>621</v>
      </c>
      <c r="C355" s="21"/>
      <c r="D355" s="21"/>
      <c r="E355" s="21"/>
      <c r="F355" s="21"/>
      <c r="G355" s="21"/>
      <c r="H355" s="21"/>
      <c r="I355" s="21"/>
      <c r="J355" s="21"/>
      <c r="K355" s="21"/>
      <c r="L355" s="236"/>
      <c r="M355" s="236"/>
      <c r="N355" s="236"/>
      <c r="O355" s="236"/>
      <c r="P355" s="64">
        <f>P356</f>
        <v>0</v>
      </c>
      <c r="Q355" s="21"/>
    </row>
    <row r="356" spans="1:18" s="143" customFormat="1">
      <c r="A356" s="29"/>
      <c r="B356" s="32" t="s">
        <v>623</v>
      </c>
      <c r="C356" s="32"/>
      <c r="D356" s="206" t="s">
        <v>624</v>
      </c>
      <c r="E356" s="32"/>
      <c r="F356" s="32" t="s">
        <v>561</v>
      </c>
      <c r="G356" s="32"/>
      <c r="H356" s="32"/>
      <c r="I356" s="32"/>
      <c r="J356" s="32"/>
      <c r="K356" s="32"/>
      <c r="L356" s="29"/>
      <c r="M356" s="29"/>
      <c r="N356" s="29">
        <f>M356/100000</f>
        <v>0</v>
      </c>
      <c r="O356" s="29"/>
      <c r="P356" s="106">
        <f>N356*O356</f>
        <v>0</v>
      </c>
      <c r="Q356" s="32"/>
    </row>
    <row r="357" spans="1:18" s="205" customFormat="1" ht="30">
      <c r="A357" s="236"/>
      <c r="B357" s="22" t="s">
        <v>621</v>
      </c>
      <c r="C357" s="21"/>
      <c r="D357" s="21"/>
      <c r="E357" s="21"/>
      <c r="F357" s="21"/>
      <c r="G357" s="21"/>
      <c r="H357" s="21"/>
      <c r="I357" s="21"/>
      <c r="J357" s="21"/>
      <c r="K357" s="21"/>
      <c r="L357" s="236"/>
      <c r="M357" s="236"/>
      <c r="N357" s="236"/>
      <c r="O357" s="236"/>
      <c r="P357" s="64">
        <f>P358</f>
        <v>0</v>
      </c>
      <c r="Q357" s="21"/>
    </row>
    <row r="358" spans="1:18" s="143" customFormat="1">
      <c r="A358" s="29"/>
      <c r="B358" s="32" t="s">
        <v>623</v>
      </c>
      <c r="C358" s="32"/>
      <c r="D358" s="206" t="s">
        <v>624</v>
      </c>
      <c r="E358" s="32"/>
      <c r="F358" s="32" t="s">
        <v>561</v>
      </c>
      <c r="G358" s="32"/>
      <c r="H358" s="32"/>
      <c r="I358" s="32"/>
      <c r="J358" s="32"/>
      <c r="K358" s="32"/>
      <c r="L358" s="29"/>
      <c r="M358" s="29"/>
      <c r="N358" s="29">
        <f>M358/100000</f>
        <v>0</v>
      </c>
      <c r="O358" s="29"/>
      <c r="P358" s="106">
        <f>N358*O358</f>
        <v>0</v>
      </c>
      <c r="Q358" s="32"/>
    </row>
  </sheetData>
  <mergeCells count="27">
    <mergeCell ref="B208:O208"/>
    <mergeCell ref="E172:P172"/>
    <mergeCell ref="E175:P175"/>
    <mergeCell ref="B191:O191"/>
    <mergeCell ref="B185:O185"/>
    <mergeCell ref="B2:O2"/>
    <mergeCell ref="B11:O11"/>
    <mergeCell ref="B15:O15"/>
    <mergeCell ref="B34:O34"/>
    <mergeCell ref="E171:P171"/>
    <mergeCell ref="B32:O32"/>
    <mergeCell ref="B352:O352"/>
    <mergeCell ref="B353:O353"/>
    <mergeCell ref="B84:O84"/>
    <mergeCell ref="B223:O223"/>
    <mergeCell ref="B233:O233"/>
    <mergeCell ref="B243:O243"/>
    <mergeCell ref="B261:O261"/>
    <mergeCell ref="E324:P324"/>
    <mergeCell ref="E316:P316"/>
    <mergeCell ref="E313:P313"/>
    <mergeCell ref="E310:P310"/>
    <mergeCell ref="E304:P304"/>
    <mergeCell ref="E307:P307"/>
    <mergeCell ref="B270:O270"/>
    <mergeCell ref="B241:O241"/>
    <mergeCell ref="B193:O193"/>
  </mergeCells>
  <printOptions horizontalCentered="1"/>
  <pageMargins left="0.31496062992125984" right="0.31496062992125984" top="0.31496062992125984" bottom="0.59055118110236227" header="0.31496062992125984" footer="0.31496062992125984"/>
  <pageSetup paperSize="5" scale="65"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dimension ref="A1:H20"/>
  <sheetViews>
    <sheetView tabSelected="1" topLeftCell="A13" workbookViewId="0">
      <selection activeCell="C24" sqref="C24"/>
    </sheetView>
  </sheetViews>
  <sheetFormatPr defaultRowHeight="15"/>
  <cols>
    <col min="1" max="1" width="41.140625" customWidth="1"/>
    <col min="2" max="2" width="13.5703125" customWidth="1"/>
    <col min="3" max="3" width="14.5703125" customWidth="1"/>
    <col min="4" max="4" width="15.140625" customWidth="1"/>
    <col min="5" max="5" width="16.5703125" customWidth="1"/>
    <col min="6" max="6" width="19.7109375" customWidth="1"/>
    <col min="7" max="7" width="15.5703125" style="335" customWidth="1"/>
    <col min="257" max="257" width="41.140625" customWidth="1"/>
    <col min="258" max="258" width="13.5703125" customWidth="1"/>
    <col min="259" max="259" width="14.5703125" customWidth="1"/>
    <col min="260" max="260" width="15.140625" customWidth="1"/>
    <col min="261" max="261" width="16.5703125" customWidth="1"/>
    <col min="262" max="262" width="19.7109375" customWidth="1"/>
    <col min="513" max="513" width="41.140625" customWidth="1"/>
    <col min="514" max="514" width="13.5703125" customWidth="1"/>
    <col min="515" max="515" width="14.5703125" customWidth="1"/>
    <col min="516" max="516" width="15.140625" customWidth="1"/>
    <col min="517" max="517" width="16.5703125" customWidth="1"/>
    <col min="518" max="518" width="19.7109375" customWidth="1"/>
    <col min="769" max="769" width="41.140625" customWidth="1"/>
    <col min="770" max="770" width="13.5703125" customWidth="1"/>
    <col min="771" max="771" width="14.5703125" customWidth="1"/>
    <col min="772" max="772" width="15.140625" customWidth="1"/>
    <col min="773" max="773" width="16.5703125" customWidth="1"/>
    <col min="774" max="774" width="19.7109375" customWidth="1"/>
    <col min="1025" max="1025" width="41.140625" customWidth="1"/>
    <col min="1026" max="1026" width="13.5703125" customWidth="1"/>
    <col min="1027" max="1027" width="14.5703125" customWidth="1"/>
    <col min="1028" max="1028" width="15.140625" customWidth="1"/>
    <col min="1029" max="1029" width="16.5703125" customWidth="1"/>
    <col min="1030" max="1030" width="19.7109375" customWidth="1"/>
    <col min="1281" max="1281" width="41.140625" customWidth="1"/>
    <col min="1282" max="1282" width="13.5703125" customWidth="1"/>
    <col min="1283" max="1283" width="14.5703125" customWidth="1"/>
    <col min="1284" max="1284" width="15.140625" customWidth="1"/>
    <col min="1285" max="1285" width="16.5703125" customWidth="1"/>
    <col min="1286" max="1286" width="19.7109375" customWidth="1"/>
    <col min="1537" max="1537" width="41.140625" customWidth="1"/>
    <col min="1538" max="1538" width="13.5703125" customWidth="1"/>
    <col min="1539" max="1539" width="14.5703125" customWidth="1"/>
    <col min="1540" max="1540" width="15.140625" customWidth="1"/>
    <col min="1541" max="1541" width="16.5703125" customWidth="1"/>
    <col min="1542" max="1542" width="19.7109375" customWidth="1"/>
    <col min="1793" max="1793" width="41.140625" customWidth="1"/>
    <col min="1794" max="1794" width="13.5703125" customWidth="1"/>
    <col min="1795" max="1795" width="14.5703125" customWidth="1"/>
    <col min="1796" max="1796" width="15.140625" customWidth="1"/>
    <col min="1797" max="1797" width="16.5703125" customWidth="1"/>
    <col min="1798" max="1798" width="19.7109375" customWidth="1"/>
    <col min="2049" max="2049" width="41.140625" customWidth="1"/>
    <col min="2050" max="2050" width="13.5703125" customWidth="1"/>
    <col min="2051" max="2051" width="14.5703125" customWidth="1"/>
    <col min="2052" max="2052" width="15.140625" customWidth="1"/>
    <col min="2053" max="2053" width="16.5703125" customWidth="1"/>
    <col min="2054" max="2054" width="19.7109375" customWidth="1"/>
    <col min="2305" max="2305" width="41.140625" customWidth="1"/>
    <col min="2306" max="2306" width="13.5703125" customWidth="1"/>
    <col min="2307" max="2307" width="14.5703125" customWidth="1"/>
    <col min="2308" max="2308" width="15.140625" customWidth="1"/>
    <col min="2309" max="2309" width="16.5703125" customWidth="1"/>
    <col min="2310" max="2310" width="19.7109375" customWidth="1"/>
    <col min="2561" max="2561" width="41.140625" customWidth="1"/>
    <col min="2562" max="2562" width="13.5703125" customWidth="1"/>
    <col min="2563" max="2563" width="14.5703125" customWidth="1"/>
    <col min="2564" max="2564" width="15.140625" customWidth="1"/>
    <col min="2565" max="2565" width="16.5703125" customWidth="1"/>
    <col min="2566" max="2566" width="19.7109375" customWidth="1"/>
    <col min="2817" max="2817" width="41.140625" customWidth="1"/>
    <col min="2818" max="2818" width="13.5703125" customWidth="1"/>
    <col min="2819" max="2819" width="14.5703125" customWidth="1"/>
    <col min="2820" max="2820" width="15.140625" customWidth="1"/>
    <col min="2821" max="2821" width="16.5703125" customWidth="1"/>
    <col min="2822" max="2822" width="19.7109375" customWidth="1"/>
    <col min="3073" max="3073" width="41.140625" customWidth="1"/>
    <col min="3074" max="3074" width="13.5703125" customWidth="1"/>
    <col min="3075" max="3075" width="14.5703125" customWidth="1"/>
    <col min="3076" max="3076" width="15.140625" customWidth="1"/>
    <col min="3077" max="3077" width="16.5703125" customWidth="1"/>
    <col min="3078" max="3078" width="19.7109375" customWidth="1"/>
    <col min="3329" max="3329" width="41.140625" customWidth="1"/>
    <col min="3330" max="3330" width="13.5703125" customWidth="1"/>
    <col min="3331" max="3331" width="14.5703125" customWidth="1"/>
    <col min="3332" max="3332" width="15.140625" customWidth="1"/>
    <col min="3333" max="3333" width="16.5703125" customWidth="1"/>
    <col min="3334" max="3334" width="19.7109375" customWidth="1"/>
    <col min="3585" max="3585" width="41.140625" customWidth="1"/>
    <col min="3586" max="3586" width="13.5703125" customWidth="1"/>
    <col min="3587" max="3587" width="14.5703125" customWidth="1"/>
    <col min="3588" max="3588" width="15.140625" customWidth="1"/>
    <col min="3589" max="3589" width="16.5703125" customWidth="1"/>
    <col min="3590" max="3590" width="19.7109375" customWidth="1"/>
    <col min="3841" max="3841" width="41.140625" customWidth="1"/>
    <col min="3842" max="3842" width="13.5703125" customWidth="1"/>
    <col min="3843" max="3843" width="14.5703125" customWidth="1"/>
    <col min="3844" max="3844" width="15.140625" customWidth="1"/>
    <col min="3845" max="3845" width="16.5703125" customWidth="1"/>
    <col min="3846" max="3846" width="19.7109375" customWidth="1"/>
    <col min="4097" max="4097" width="41.140625" customWidth="1"/>
    <col min="4098" max="4098" width="13.5703125" customWidth="1"/>
    <col min="4099" max="4099" width="14.5703125" customWidth="1"/>
    <col min="4100" max="4100" width="15.140625" customWidth="1"/>
    <col min="4101" max="4101" width="16.5703125" customWidth="1"/>
    <col min="4102" max="4102" width="19.7109375" customWidth="1"/>
    <col min="4353" max="4353" width="41.140625" customWidth="1"/>
    <col min="4354" max="4354" width="13.5703125" customWidth="1"/>
    <col min="4355" max="4355" width="14.5703125" customWidth="1"/>
    <col min="4356" max="4356" width="15.140625" customWidth="1"/>
    <col min="4357" max="4357" width="16.5703125" customWidth="1"/>
    <col min="4358" max="4358" width="19.7109375" customWidth="1"/>
    <col min="4609" max="4609" width="41.140625" customWidth="1"/>
    <col min="4610" max="4610" width="13.5703125" customWidth="1"/>
    <col min="4611" max="4611" width="14.5703125" customWidth="1"/>
    <col min="4612" max="4612" width="15.140625" customWidth="1"/>
    <col min="4613" max="4613" width="16.5703125" customWidth="1"/>
    <col min="4614" max="4614" width="19.7109375" customWidth="1"/>
    <col min="4865" max="4865" width="41.140625" customWidth="1"/>
    <col min="4866" max="4866" width="13.5703125" customWidth="1"/>
    <col min="4867" max="4867" width="14.5703125" customWidth="1"/>
    <col min="4868" max="4868" width="15.140625" customWidth="1"/>
    <col min="4869" max="4869" width="16.5703125" customWidth="1"/>
    <col min="4870" max="4870" width="19.7109375" customWidth="1"/>
    <col min="5121" max="5121" width="41.140625" customWidth="1"/>
    <col min="5122" max="5122" width="13.5703125" customWidth="1"/>
    <col min="5123" max="5123" width="14.5703125" customWidth="1"/>
    <col min="5124" max="5124" width="15.140625" customWidth="1"/>
    <col min="5125" max="5125" width="16.5703125" customWidth="1"/>
    <col min="5126" max="5126" width="19.7109375" customWidth="1"/>
    <col min="5377" max="5377" width="41.140625" customWidth="1"/>
    <col min="5378" max="5378" width="13.5703125" customWidth="1"/>
    <col min="5379" max="5379" width="14.5703125" customWidth="1"/>
    <col min="5380" max="5380" width="15.140625" customWidth="1"/>
    <col min="5381" max="5381" width="16.5703125" customWidth="1"/>
    <col min="5382" max="5382" width="19.7109375" customWidth="1"/>
    <col min="5633" max="5633" width="41.140625" customWidth="1"/>
    <col min="5634" max="5634" width="13.5703125" customWidth="1"/>
    <col min="5635" max="5635" width="14.5703125" customWidth="1"/>
    <col min="5636" max="5636" width="15.140625" customWidth="1"/>
    <col min="5637" max="5637" width="16.5703125" customWidth="1"/>
    <col min="5638" max="5638" width="19.7109375" customWidth="1"/>
    <col min="5889" max="5889" width="41.140625" customWidth="1"/>
    <col min="5890" max="5890" width="13.5703125" customWidth="1"/>
    <col min="5891" max="5891" width="14.5703125" customWidth="1"/>
    <col min="5892" max="5892" width="15.140625" customWidth="1"/>
    <col min="5893" max="5893" width="16.5703125" customWidth="1"/>
    <col min="5894" max="5894" width="19.7109375" customWidth="1"/>
    <col min="6145" max="6145" width="41.140625" customWidth="1"/>
    <col min="6146" max="6146" width="13.5703125" customWidth="1"/>
    <col min="6147" max="6147" width="14.5703125" customWidth="1"/>
    <col min="6148" max="6148" width="15.140625" customWidth="1"/>
    <col min="6149" max="6149" width="16.5703125" customWidth="1"/>
    <col min="6150" max="6150" width="19.7109375" customWidth="1"/>
    <col min="6401" max="6401" width="41.140625" customWidth="1"/>
    <col min="6402" max="6402" width="13.5703125" customWidth="1"/>
    <col min="6403" max="6403" width="14.5703125" customWidth="1"/>
    <col min="6404" max="6404" width="15.140625" customWidth="1"/>
    <col min="6405" max="6405" width="16.5703125" customWidth="1"/>
    <col min="6406" max="6406" width="19.7109375" customWidth="1"/>
    <col min="6657" max="6657" width="41.140625" customWidth="1"/>
    <col min="6658" max="6658" width="13.5703125" customWidth="1"/>
    <col min="6659" max="6659" width="14.5703125" customWidth="1"/>
    <col min="6660" max="6660" width="15.140625" customWidth="1"/>
    <col min="6661" max="6661" width="16.5703125" customWidth="1"/>
    <col min="6662" max="6662" width="19.7109375" customWidth="1"/>
    <col min="6913" max="6913" width="41.140625" customWidth="1"/>
    <col min="6914" max="6914" width="13.5703125" customWidth="1"/>
    <col min="6915" max="6915" width="14.5703125" customWidth="1"/>
    <col min="6916" max="6916" width="15.140625" customWidth="1"/>
    <col min="6917" max="6917" width="16.5703125" customWidth="1"/>
    <col min="6918" max="6918" width="19.7109375" customWidth="1"/>
    <col min="7169" max="7169" width="41.140625" customWidth="1"/>
    <col min="7170" max="7170" width="13.5703125" customWidth="1"/>
    <col min="7171" max="7171" width="14.5703125" customWidth="1"/>
    <col min="7172" max="7172" width="15.140625" customWidth="1"/>
    <col min="7173" max="7173" width="16.5703125" customWidth="1"/>
    <col min="7174" max="7174" width="19.7109375" customWidth="1"/>
    <col min="7425" max="7425" width="41.140625" customWidth="1"/>
    <col min="7426" max="7426" width="13.5703125" customWidth="1"/>
    <col min="7427" max="7427" width="14.5703125" customWidth="1"/>
    <col min="7428" max="7428" width="15.140625" customWidth="1"/>
    <col min="7429" max="7429" width="16.5703125" customWidth="1"/>
    <col min="7430" max="7430" width="19.7109375" customWidth="1"/>
    <col min="7681" max="7681" width="41.140625" customWidth="1"/>
    <col min="7682" max="7682" width="13.5703125" customWidth="1"/>
    <col min="7683" max="7683" width="14.5703125" customWidth="1"/>
    <col min="7684" max="7684" width="15.140625" customWidth="1"/>
    <col min="7685" max="7685" width="16.5703125" customWidth="1"/>
    <col min="7686" max="7686" width="19.7109375" customWidth="1"/>
    <col min="7937" max="7937" width="41.140625" customWidth="1"/>
    <col min="7938" max="7938" width="13.5703125" customWidth="1"/>
    <col min="7939" max="7939" width="14.5703125" customWidth="1"/>
    <col min="7940" max="7940" width="15.140625" customWidth="1"/>
    <col min="7941" max="7941" width="16.5703125" customWidth="1"/>
    <col min="7942" max="7942" width="19.7109375" customWidth="1"/>
    <col min="8193" max="8193" width="41.140625" customWidth="1"/>
    <col min="8194" max="8194" width="13.5703125" customWidth="1"/>
    <col min="8195" max="8195" width="14.5703125" customWidth="1"/>
    <col min="8196" max="8196" width="15.140625" customWidth="1"/>
    <col min="8197" max="8197" width="16.5703125" customWidth="1"/>
    <col min="8198" max="8198" width="19.7109375" customWidth="1"/>
    <col min="8449" max="8449" width="41.140625" customWidth="1"/>
    <col min="8450" max="8450" width="13.5703125" customWidth="1"/>
    <col min="8451" max="8451" width="14.5703125" customWidth="1"/>
    <col min="8452" max="8452" width="15.140625" customWidth="1"/>
    <col min="8453" max="8453" width="16.5703125" customWidth="1"/>
    <col min="8454" max="8454" width="19.7109375" customWidth="1"/>
    <col min="8705" max="8705" width="41.140625" customWidth="1"/>
    <col min="8706" max="8706" width="13.5703125" customWidth="1"/>
    <col min="8707" max="8707" width="14.5703125" customWidth="1"/>
    <col min="8708" max="8708" width="15.140625" customWidth="1"/>
    <col min="8709" max="8709" width="16.5703125" customWidth="1"/>
    <col min="8710" max="8710" width="19.7109375" customWidth="1"/>
    <col min="8961" max="8961" width="41.140625" customWidth="1"/>
    <col min="8962" max="8962" width="13.5703125" customWidth="1"/>
    <col min="8963" max="8963" width="14.5703125" customWidth="1"/>
    <col min="8964" max="8964" width="15.140625" customWidth="1"/>
    <col min="8965" max="8965" width="16.5703125" customWidth="1"/>
    <col min="8966" max="8966" width="19.7109375" customWidth="1"/>
    <col min="9217" max="9217" width="41.140625" customWidth="1"/>
    <col min="9218" max="9218" width="13.5703125" customWidth="1"/>
    <col min="9219" max="9219" width="14.5703125" customWidth="1"/>
    <col min="9220" max="9220" width="15.140625" customWidth="1"/>
    <col min="9221" max="9221" width="16.5703125" customWidth="1"/>
    <col min="9222" max="9222" width="19.7109375" customWidth="1"/>
    <col min="9473" max="9473" width="41.140625" customWidth="1"/>
    <col min="9474" max="9474" width="13.5703125" customWidth="1"/>
    <col min="9475" max="9475" width="14.5703125" customWidth="1"/>
    <col min="9476" max="9476" width="15.140625" customWidth="1"/>
    <col min="9477" max="9477" width="16.5703125" customWidth="1"/>
    <col min="9478" max="9478" width="19.7109375" customWidth="1"/>
    <col min="9729" max="9729" width="41.140625" customWidth="1"/>
    <col min="9730" max="9730" width="13.5703125" customWidth="1"/>
    <col min="9731" max="9731" width="14.5703125" customWidth="1"/>
    <col min="9732" max="9732" width="15.140625" customWidth="1"/>
    <col min="9733" max="9733" width="16.5703125" customWidth="1"/>
    <col min="9734" max="9734" width="19.7109375" customWidth="1"/>
    <col min="9985" max="9985" width="41.140625" customWidth="1"/>
    <col min="9986" max="9986" width="13.5703125" customWidth="1"/>
    <col min="9987" max="9987" width="14.5703125" customWidth="1"/>
    <col min="9988" max="9988" width="15.140625" customWidth="1"/>
    <col min="9989" max="9989" width="16.5703125" customWidth="1"/>
    <col min="9990" max="9990" width="19.7109375" customWidth="1"/>
    <col min="10241" max="10241" width="41.140625" customWidth="1"/>
    <col min="10242" max="10242" width="13.5703125" customWidth="1"/>
    <col min="10243" max="10243" width="14.5703125" customWidth="1"/>
    <col min="10244" max="10244" width="15.140625" customWidth="1"/>
    <col min="10245" max="10245" width="16.5703125" customWidth="1"/>
    <col min="10246" max="10246" width="19.7109375" customWidth="1"/>
    <col min="10497" max="10497" width="41.140625" customWidth="1"/>
    <col min="10498" max="10498" width="13.5703125" customWidth="1"/>
    <col min="10499" max="10499" width="14.5703125" customWidth="1"/>
    <col min="10500" max="10500" width="15.140625" customWidth="1"/>
    <col min="10501" max="10501" width="16.5703125" customWidth="1"/>
    <col min="10502" max="10502" width="19.7109375" customWidth="1"/>
    <col min="10753" max="10753" width="41.140625" customWidth="1"/>
    <col min="10754" max="10754" width="13.5703125" customWidth="1"/>
    <col min="10755" max="10755" width="14.5703125" customWidth="1"/>
    <col min="10756" max="10756" width="15.140625" customWidth="1"/>
    <col min="10757" max="10757" width="16.5703125" customWidth="1"/>
    <col min="10758" max="10758" width="19.7109375" customWidth="1"/>
    <col min="11009" max="11009" width="41.140625" customWidth="1"/>
    <col min="11010" max="11010" width="13.5703125" customWidth="1"/>
    <col min="11011" max="11011" width="14.5703125" customWidth="1"/>
    <col min="11012" max="11012" width="15.140625" customWidth="1"/>
    <col min="11013" max="11013" width="16.5703125" customWidth="1"/>
    <col min="11014" max="11014" width="19.7109375" customWidth="1"/>
    <col min="11265" max="11265" width="41.140625" customWidth="1"/>
    <col min="11266" max="11266" width="13.5703125" customWidth="1"/>
    <col min="11267" max="11267" width="14.5703125" customWidth="1"/>
    <col min="11268" max="11268" width="15.140625" customWidth="1"/>
    <col min="11269" max="11269" width="16.5703125" customWidth="1"/>
    <col min="11270" max="11270" width="19.7109375" customWidth="1"/>
    <col min="11521" max="11521" width="41.140625" customWidth="1"/>
    <col min="11522" max="11522" width="13.5703125" customWidth="1"/>
    <col min="11523" max="11523" width="14.5703125" customWidth="1"/>
    <col min="11524" max="11524" width="15.140625" customWidth="1"/>
    <col min="11525" max="11525" width="16.5703125" customWidth="1"/>
    <col min="11526" max="11526" width="19.7109375" customWidth="1"/>
    <col min="11777" max="11777" width="41.140625" customWidth="1"/>
    <col min="11778" max="11778" width="13.5703125" customWidth="1"/>
    <col min="11779" max="11779" width="14.5703125" customWidth="1"/>
    <col min="11780" max="11780" width="15.140625" customWidth="1"/>
    <col min="11781" max="11781" width="16.5703125" customWidth="1"/>
    <col min="11782" max="11782" width="19.7109375" customWidth="1"/>
    <col min="12033" max="12033" width="41.140625" customWidth="1"/>
    <col min="12034" max="12034" width="13.5703125" customWidth="1"/>
    <col min="12035" max="12035" width="14.5703125" customWidth="1"/>
    <col min="12036" max="12036" width="15.140625" customWidth="1"/>
    <col min="12037" max="12037" width="16.5703125" customWidth="1"/>
    <col min="12038" max="12038" width="19.7109375" customWidth="1"/>
    <col min="12289" max="12289" width="41.140625" customWidth="1"/>
    <col min="12290" max="12290" width="13.5703125" customWidth="1"/>
    <col min="12291" max="12291" width="14.5703125" customWidth="1"/>
    <col min="12292" max="12292" width="15.140625" customWidth="1"/>
    <col min="12293" max="12293" width="16.5703125" customWidth="1"/>
    <col min="12294" max="12294" width="19.7109375" customWidth="1"/>
    <col min="12545" max="12545" width="41.140625" customWidth="1"/>
    <col min="12546" max="12546" width="13.5703125" customWidth="1"/>
    <col min="12547" max="12547" width="14.5703125" customWidth="1"/>
    <col min="12548" max="12548" width="15.140625" customWidth="1"/>
    <col min="12549" max="12549" width="16.5703125" customWidth="1"/>
    <col min="12550" max="12550" width="19.7109375" customWidth="1"/>
    <col min="12801" max="12801" width="41.140625" customWidth="1"/>
    <col min="12802" max="12802" width="13.5703125" customWidth="1"/>
    <col min="12803" max="12803" width="14.5703125" customWidth="1"/>
    <col min="12804" max="12804" width="15.140625" customWidth="1"/>
    <col min="12805" max="12805" width="16.5703125" customWidth="1"/>
    <col min="12806" max="12806" width="19.7109375" customWidth="1"/>
    <col min="13057" max="13057" width="41.140625" customWidth="1"/>
    <col min="13058" max="13058" width="13.5703125" customWidth="1"/>
    <col min="13059" max="13059" width="14.5703125" customWidth="1"/>
    <col min="13060" max="13060" width="15.140625" customWidth="1"/>
    <col min="13061" max="13061" width="16.5703125" customWidth="1"/>
    <col min="13062" max="13062" width="19.7109375" customWidth="1"/>
    <col min="13313" max="13313" width="41.140625" customWidth="1"/>
    <col min="13314" max="13314" width="13.5703125" customWidth="1"/>
    <col min="13315" max="13315" width="14.5703125" customWidth="1"/>
    <col min="13316" max="13316" width="15.140625" customWidth="1"/>
    <col min="13317" max="13317" width="16.5703125" customWidth="1"/>
    <col min="13318" max="13318" width="19.7109375" customWidth="1"/>
    <col min="13569" max="13569" width="41.140625" customWidth="1"/>
    <col min="13570" max="13570" width="13.5703125" customWidth="1"/>
    <col min="13571" max="13571" width="14.5703125" customWidth="1"/>
    <col min="13572" max="13572" width="15.140625" customWidth="1"/>
    <col min="13573" max="13573" width="16.5703125" customWidth="1"/>
    <col min="13574" max="13574" width="19.7109375" customWidth="1"/>
    <col min="13825" max="13825" width="41.140625" customWidth="1"/>
    <col min="13826" max="13826" width="13.5703125" customWidth="1"/>
    <col min="13827" max="13827" width="14.5703125" customWidth="1"/>
    <col min="13828" max="13828" width="15.140625" customWidth="1"/>
    <col min="13829" max="13829" width="16.5703125" customWidth="1"/>
    <col min="13830" max="13830" width="19.7109375" customWidth="1"/>
    <col min="14081" max="14081" width="41.140625" customWidth="1"/>
    <col min="14082" max="14082" width="13.5703125" customWidth="1"/>
    <col min="14083" max="14083" width="14.5703125" customWidth="1"/>
    <col min="14084" max="14084" width="15.140625" customWidth="1"/>
    <col min="14085" max="14085" width="16.5703125" customWidth="1"/>
    <col min="14086" max="14086" width="19.7109375" customWidth="1"/>
    <col min="14337" max="14337" width="41.140625" customWidth="1"/>
    <col min="14338" max="14338" width="13.5703125" customWidth="1"/>
    <col min="14339" max="14339" width="14.5703125" customWidth="1"/>
    <col min="14340" max="14340" width="15.140625" customWidth="1"/>
    <col min="14341" max="14341" width="16.5703125" customWidth="1"/>
    <col min="14342" max="14342" width="19.7109375" customWidth="1"/>
    <col min="14593" max="14593" width="41.140625" customWidth="1"/>
    <col min="14594" max="14594" width="13.5703125" customWidth="1"/>
    <col min="14595" max="14595" width="14.5703125" customWidth="1"/>
    <col min="14596" max="14596" width="15.140625" customWidth="1"/>
    <col min="14597" max="14597" width="16.5703125" customWidth="1"/>
    <col min="14598" max="14598" width="19.7109375" customWidth="1"/>
    <col min="14849" max="14849" width="41.140625" customWidth="1"/>
    <col min="14850" max="14850" width="13.5703125" customWidth="1"/>
    <col min="14851" max="14851" width="14.5703125" customWidth="1"/>
    <col min="14852" max="14852" width="15.140625" customWidth="1"/>
    <col min="14853" max="14853" width="16.5703125" customWidth="1"/>
    <col min="14854" max="14854" width="19.7109375" customWidth="1"/>
    <col min="15105" max="15105" width="41.140625" customWidth="1"/>
    <col min="15106" max="15106" width="13.5703125" customWidth="1"/>
    <col min="15107" max="15107" width="14.5703125" customWidth="1"/>
    <col min="15108" max="15108" width="15.140625" customWidth="1"/>
    <col min="15109" max="15109" width="16.5703125" customWidth="1"/>
    <col min="15110" max="15110" width="19.7109375" customWidth="1"/>
    <col min="15361" max="15361" width="41.140625" customWidth="1"/>
    <col min="15362" max="15362" width="13.5703125" customWidth="1"/>
    <col min="15363" max="15363" width="14.5703125" customWidth="1"/>
    <col min="15364" max="15364" width="15.140625" customWidth="1"/>
    <col min="15365" max="15365" width="16.5703125" customWidth="1"/>
    <col min="15366" max="15366" width="19.7109375" customWidth="1"/>
    <col min="15617" max="15617" width="41.140625" customWidth="1"/>
    <col min="15618" max="15618" width="13.5703125" customWidth="1"/>
    <col min="15619" max="15619" width="14.5703125" customWidth="1"/>
    <col min="15620" max="15620" width="15.140625" customWidth="1"/>
    <col min="15621" max="15621" width="16.5703125" customWidth="1"/>
    <col min="15622" max="15622" width="19.7109375" customWidth="1"/>
    <col min="15873" max="15873" width="41.140625" customWidth="1"/>
    <col min="15874" max="15874" width="13.5703125" customWidth="1"/>
    <col min="15875" max="15875" width="14.5703125" customWidth="1"/>
    <col min="15876" max="15876" width="15.140625" customWidth="1"/>
    <col min="15877" max="15877" width="16.5703125" customWidth="1"/>
    <col min="15878" max="15878" width="19.7109375" customWidth="1"/>
    <col min="16129" max="16129" width="41.140625" customWidth="1"/>
    <col min="16130" max="16130" width="13.5703125" customWidth="1"/>
    <col min="16131" max="16131" width="14.5703125" customWidth="1"/>
    <col min="16132" max="16132" width="15.140625" customWidth="1"/>
    <col min="16133" max="16133" width="16.5703125" customWidth="1"/>
    <col min="16134" max="16134" width="19.7109375" customWidth="1"/>
  </cols>
  <sheetData>
    <row r="1" spans="1:8" ht="34.9" customHeight="1">
      <c r="A1" s="436" t="s">
        <v>782</v>
      </c>
      <c r="B1" s="438" t="s">
        <v>312</v>
      </c>
      <c r="C1" s="439"/>
      <c r="D1" s="438" t="s">
        <v>573</v>
      </c>
      <c r="E1" s="439"/>
      <c r="F1" s="440" t="s">
        <v>783</v>
      </c>
      <c r="G1" s="435" t="s">
        <v>784</v>
      </c>
    </row>
    <row r="2" spans="1:8" ht="57" customHeight="1">
      <c r="A2" s="437"/>
      <c r="B2" s="363" t="s">
        <v>278</v>
      </c>
      <c r="C2" s="363" t="s">
        <v>279</v>
      </c>
      <c r="D2" s="363" t="s">
        <v>278</v>
      </c>
      <c r="E2" s="363" t="s">
        <v>785</v>
      </c>
      <c r="F2" s="440"/>
      <c r="G2" s="435"/>
    </row>
    <row r="3" spans="1:8">
      <c r="A3" s="364" t="s">
        <v>280</v>
      </c>
      <c r="B3" s="365">
        <v>2100</v>
      </c>
      <c r="C3" s="366">
        <v>1450</v>
      </c>
      <c r="D3" s="366">
        <v>2100</v>
      </c>
      <c r="E3" s="366">
        <v>1450</v>
      </c>
      <c r="F3" s="366">
        <v>2100</v>
      </c>
      <c r="G3" s="367">
        <v>1</v>
      </c>
    </row>
    <row r="4" spans="1:8">
      <c r="A4" s="364" t="s">
        <v>281</v>
      </c>
      <c r="B4" s="365">
        <v>1950</v>
      </c>
      <c r="C4" s="366">
        <v>1150</v>
      </c>
      <c r="D4" s="366">
        <v>1950</v>
      </c>
      <c r="E4" s="366">
        <v>1150</v>
      </c>
      <c r="F4" s="366">
        <v>1950</v>
      </c>
      <c r="G4" s="367">
        <v>1</v>
      </c>
    </row>
    <row r="5" spans="1:8">
      <c r="A5" s="364" t="s">
        <v>282</v>
      </c>
      <c r="B5" s="365">
        <v>1750</v>
      </c>
      <c r="C5" s="366">
        <v>45</v>
      </c>
      <c r="D5" s="366">
        <v>1750</v>
      </c>
      <c r="E5" s="366">
        <v>45</v>
      </c>
      <c r="F5" s="366">
        <v>1750</v>
      </c>
      <c r="G5" s="367">
        <v>1</v>
      </c>
    </row>
    <row r="6" spans="1:8">
      <c r="A6" s="364" t="s">
        <v>283</v>
      </c>
      <c r="B6" s="365">
        <v>175</v>
      </c>
      <c r="C6" s="366">
        <v>75</v>
      </c>
      <c r="D6" s="366">
        <v>175</v>
      </c>
      <c r="E6" s="366">
        <v>75</v>
      </c>
      <c r="F6" s="366">
        <v>175</v>
      </c>
      <c r="G6" s="367">
        <v>1</v>
      </c>
    </row>
    <row r="7" spans="1:8" ht="89.25">
      <c r="A7" s="336" t="s">
        <v>284</v>
      </c>
      <c r="B7" s="365">
        <v>0</v>
      </c>
      <c r="C7" s="366">
        <v>0</v>
      </c>
      <c r="D7" s="366">
        <v>0</v>
      </c>
      <c r="E7" s="366">
        <v>0</v>
      </c>
      <c r="F7" s="365">
        <v>0</v>
      </c>
      <c r="G7" s="367">
        <v>0</v>
      </c>
      <c r="H7" s="53"/>
    </row>
    <row r="8" spans="1:8">
      <c r="A8" s="336" t="s">
        <v>786</v>
      </c>
      <c r="B8" s="365">
        <v>0</v>
      </c>
      <c r="C8" s="366">
        <v>0</v>
      </c>
      <c r="D8" s="366">
        <v>0</v>
      </c>
      <c r="E8" s="366">
        <v>0</v>
      </c>
      <c r="F8" s="366">
        <v>0</v>
      </c>
      <c r="G8" s="367">
        <v>0</v>
      </c>
    </row>
    <row r="9" spans="1:8">
      <c r="A9" s="336" t="s">
        <v>787</v>
      </c>
      <c r="B9" s="365">
        <v>0</v>
      </c>
      <c r="C9" s="366">
        <v>0</v>
      </c>
      <c r="D9" s="366">
        <v>0</v>
      </c>
      <c r="E9" s="366">
        <v>0</v>
      </c>
      <c r="F9" s="366">
        <v>0</v>
      </c>
      <c r="G9" s="367">
        <v>0</v>
      </c>
    </row>
    <row r="10" spans="1:8">
      <c r="A10" s="336" t="s">
        <v>788</v>
      </c>
      <c r="B10" s="365">
        <v>0</v>
      </c>
      <c r="C10" s="366">
        <v>0</v>
      </c>
      <c r="D10" s="366">
        <v>0</v>
      </c>
      <c r="E10" s="366">
        <v>0</v>
      </c>
      <c r="F10" s="366">
        <v>0</v>
      </c>
      <c r="G10" s="367">
        <v>0</v>
      </c>
    </row>
    <row r="11" spans="1:8" ht="38.25">
      <c r="A11" s="368" t="s">
        <v>294</v>
      </c>
      <c r="B11" s="365">
        <v>200</v>
      </c>
      <c r="C11" s="366">
        <v>240</v>
      </c>
      <c r="D11" s="366">
        <v>200</v>
      </c>
      <c r="E11" s="366">
        <v>240</v>
      </c>
      <c r="F11" s="366">
        <v>200</v>
      </c>
      <c r="G11" s="367">
        <v>5</v>
      </c>
    </row>
    <row r="12" spans="1:8">
      <c r="A12" s="368"/>
      <c r="B12" s="365">
        <v>0</v>
      </c>
      <c r="C12" s="366">
        <v>0</v>
      </c>
      <c r="D12" s="366">
        <v>0</v>
      </c>
      <c r="E12" s="366">
        <v>0</v>
      </c>
      <c r="F12" s="366">
        <v>0</v>
      </c>
      <c r="G12" s="367">
        <v>0</v>
      </c>
    </row>
    <row r="13" spans="1:8">
      <c r="A13" s="368"/>
      <c r="B13" s="365">
        <v>0</v>
      </c>
      <c r="C13" s="366">
        <v>0</v>
      </c>
      <c r="D13" s="366">
        <v>0</v>
      </c>
      <c r="E13" s="366">
        <v>0</v>
      </c>
      <c r="F13" s="366">
        <v>0</v>
      </c>
      <c r="G13" s="367">
        <v>0</v>
      </c>
    </row>
    <row r="14" spans="1:8">
      <c r="A14" s="368"/>
      <c r="B14" s="365">
        <v>0</v>
      </c>
      <c r="C14" s="366">
        <v>0</v>
      </c>
      <c r="D14" s="366">
        <v>0</v>
      </c>
      <c r="E14" s="366">
        <v>0</v>
      </c>
      <c r="F14" s="366">
        <v>0</v>
      </c>
      <c r="G14" s="367">
        <v>0</v>
      </c>
    </row>
    <row r="15" spans="1:8" ht="63.75">
      <c r="A15" s="337" t="s">
        <v>285</v>
      </c>
      <c r="B15" s="365">
        <v>0</v>
      </c>
      <c r="C15" s="366">
        <v>0</v>
      </c>
      <c r="D15" s="366">
        <v>0</v>
      </c>
      <c r="E15" s="366">
        <v>0</v>
      </c>
      <c r="F15" s="366">
        <v>0</v>
      </c>
      <c r="G15" s="367">
        <v>0</v>
      </c>
    </row>
    <row r="16" spans="1:8">
      <c r="A16" s="337"/>
      <c r="B16" s="369"/>
      <c r="C16" s="370"/>
      <c r="D16" s="370"/>
      <c r="E16" s="370"/>
      <c r="F16" s="371"/>
      <c r="G16" s="367"/>
    </row>
    <row r="17" spans="1:7">
      <c r="A17" s="372" t="s">
        <v>789</v>
      </c>
      <c r="B17" s="369">
        <v>0</v>
      </c>
      <c r="C17" s="370">
        <v>0</v>
      </c>
      <c r="D17" s="370">
        <v>0</v>
      </c>
      <c r="E17" s="370">
        <v>0</v>
      </c>
      <c r="F17" s="367">
        <v>6.5</v>
      </c>
      <c r="G17" s="367">
        <v>6.5</v>
      </c>
    </row>
    <row r="18" spans="1:7">
      <c r="A18" s="373"/>
      <c r="B18" s="369"/>
      <c r="C18" s="370"/>
      <c r="D18" s="370"/>
      <c r="E18" s="370"/>
      <c r="F18" s="371"/>
      <c r="G18" s="367"/>
    </row>
    <row r="19" spans="1:7">
      <c r="A19" s="373"/>
      <c r="B19" s="369"/>
      <c r="C19" s="370"/>
      <c r="D19" s="370"/>
      <c r="E19" s="370"/>
      <c r="F19" s="371"/>
      <c r="G19" s="367"/>
    </row>
    <row r="20" spans="1:7">
      <c r="A20" s="374" t="s">
        <v>18</v>
      </c>
      <c r="B20" s="375"/>
      <c r="C20" s="375"/>
      <c r="D20" s="375"/>
      <c r="E20" s="375"/>
      <c r="F20" s="376"/>
      <c r="G20" s="367">
        <v>15.5</v>
      </c>
    </row>
  </sheetData>
  <protectedRanges>
    <protectedRange sqref="F3:F6 A18:A19 B3:D19" name="ACSM_3"/>
    <protectedRange sqref="A11:A14" name="ACSM_1_1"/>
    <protectedRange sqref="A15:A17" name="ACSM_2_1"/>
  </protectedRanges>
  <mergeCells count="5">
    <mergeCell ref="G1:G2"/>
    <mergeCell ref="A1:A2"/>
    <mergeCell ref="B1:C1"/>
    <mergeCell ref="D1:E1"/>
    <mergeCell ref="F1:F2"/>
  </mergeCells>
  <conditionalFormatting sqref="D20">
    <cfRule type="cellIs" dxfId="0" priority="1" operator="notEqual">
      <formula>$G$46</formula>
    </cfRule>
  </conditionalFormatting>
  <dataValidations count="1">
    <dataValidation type="whole" operator="greaterThanOrEqual" allowBlank="1" showInputMessage="1" showErrorMessage="1" sqref="A18:A19 WVN983041:WVN983044 WLR983041:WLR983044 WBV983041:WBV983044 VRZ983041:VRZ983044 VID983041:VID983044 UYH983041:UYH983044 UOL983041:UOL983044 UEP983041:UEP983044 TUT983041:TUT983044 TKX983041:TKX983044 TBB983041:TBB983044 SRF983041:SRF983044 SHJ983041:SHJ983044 RXN983041:RXN983044 RNR983041:RNR983044 RDV983041:RDV983044 QTZ983041:QTZ983044 QKD983041:QKD983044 QAH983041:QAH983044 PQL983041:PQL983044 PGP983041:PGP983044 OWT983041:OWT983044 OMX983041:OMX983044 ODB983041:ODB983044 NTF983041:NTF983044 NJJ983041:NJJ983044 MZN983041:MZN983044 MPR983041:MPR983044 MFV983041:MFV983044 LVZ983041:LVZ983044 LMD983041:LMD983044 LCH983041:LCH983044 KSL983041:KSL983044 KIP983041:KIP983044 JYT983041:JYT983044 JOX983041:JOX983044 JFB983041:JFB983044 IVF983041:IVF983044 ILJ983041:ILJ983044 IBN983041:IBN983044 HRR983041:HRR983044 HHV983041:HHV983044 GXZ983041:GXZ983044 GOD983041:GOD983044 GEH983041:GEH983044 FUL983041:FUL983044 FKP983041:FKP983044 FAT983041:FAT983044 EQX983041:EQX983044 EHB983041:EHB983044 DXF983041:DXF983044 DNJ983041:DNJ983044 DDN983041:DDN983044 CTR983041:CTR983044 CJV983041:CJV983044 BZZ983041:BZZ983044 BQD983041:BQD983044 BGH983041:BGH983044 AWL983041:AWL983044 AMP983041:AMP983044 ACT983041:ACT983044 SX983041:SX983044 JB983041:JB983044 F983041:F983044 WVN917505:WVN917508 WLR917505:WLR917508 WBV917505:WBV917508 VRZ917505:VRZ917508 VID917505:VID917508 UYH917505:UYH917508 UOL917505:UOL917508 UEP917505:UEP917508 TUT917505:TUT917508 TKX917505:TKX917508 TBB917505:TBB917508 SRF917505:SRF917508 SHJ917505:SHJ917508 RXN917505:RXN917508 RNR917505:RNR917508 RDV917505:RDV917508 QTZ917505:QTZ917508 QKD917505:QKD917508 QAH917505:QAH917508 PQL917505:PQL917508 PGP917505:PGP917508 OWT917505:OWT917508 OMX917505:OMX917508 ODB917505:ODB917508 NTF917505:NTF917508 NJJ917505:NJJ917508 MZN917505:MZN917508 MPR917505:MPR917508 MFV917505:MFV917508 LVZ917505:LVZ917508 LMD917505:LMD917508 LCH917505:LCH917508 KSL917505:KSL917508 KIP917505:KIP917508 JYT917505:JYT917508 JOX917505:JOX917508 JFB917505:JFB917508 IVF917505:IVF917508 ILJ917505:ILJ917508 IBN917505:IBN917508 HRR917505:HRR917508 HHV917505:HHV917508 GXZ917505:GXZ917508 GOD917505:GOD917508 GEH917505:GEH917508 FUL917505:FUL917508 FKP917505:FKP917508 FAT917505:FAT917508 EQX917505:EQX917508 EHB917505:EHB917508 DXF917505:DXF917508 DNJ917505:DNJ917508 DDN917505:DDN917508 CTR917505:CTR917508 CJV917505:CJV917508 BZZ917505:BZZ917508 BQD917505:BQD917508 BGH917505:BGH917508 AWL917505:AWL917508 AMP917505:AMP917508 ACT917505:ACT917508 SX917505:SX917508 JB917505:JB917508 F917505:F917508 WVN851969:WVN851972 WLR851969:WLR851972 WBV851969:WBV851972 VRZ851969:VRZ851972 VID851969:VID851972 UYH851969:UYH851972 UOL851969:UOL851972 UEP851969:UEP851972 TUT851969:TUT851972 TKX851969:TKX851972 TBB851969:TBB851972 SRF851969:SRF851972 SHJ851969:SHJ851972 RXN851969:RXN851972 RNR851969:RNR851972 RDV851969:RDV851972 QTZ851969:QTZ851972 QKD851969:QKD851972 QAH851969:QAH851972 PQL851969:PQL851972 PGP851969:PGP851972 OWT851969:OWT851972 OMX851969:OMX851972 ODB851969:ODB851972 NTF851969:NTF851972 NJJ851969:NJJ851972 MZN851969:MZN851972 MPR851969:MPR851972 MFV851969:MFV851972 LVZ851969:LVZ851972 LMD851969:LMD851972 LCH851969:LCH851972 KSL851969:KSL851972 KIP851969:KIP851972 JYT851969:JYT851972 JOX851969:JOX851972 JFB851969:JFB851972 IVF851969:IVF851972 ILJ851969:ILJ851972 IBN851969:IBN851972 HRR851969:HRR851972 HHV851969:HHV851972 GXZ851969:GXZ851972 GOD851969:GOD851972 GEH851969:GEH851972 FUL851969:FUL851972 FKP851969:FKP851972 FAT851969:FAT851972 EQX851969:EQX851972 EHB851969:EHB851972 DXF851969:DXF851972 DNJ851969:DNJ851972 DDN851969:DDN851972 CTR851969:CTR851972 CJV851969:CJV851972 BZZ851969:BZZ851972 BQD851969:BQD851972 BGH851969:BGH851972 AWL851969:AWL851972 AMP851969:AMP851972 ACT851969:ACT851972 SX851969:SX851972 JB851969:JB851972 F851969:F851972 WVN786433:WVN786436 WLR786433:WLR786436 WBV786433:WBV786436 VRZ786433:VRZ786436 VID786433:VID786436 UYH786433:UYH786436 UOL786433:UOL786436 UEP786433:UEP786436 TUT786433:TUT786436 TKX786433:TKX786436 TBB786433:TBB786436 SRF786433:SRF786436 SHJ786433:SHJ786436 RXN786433:RXN786436 RNR786433:RNR786436 RDV786433:RDV786436 QTZ786433:QTZ786436 QKD786433:QKD786436 QAH786433:QAH786436 PQL786433:PQL786436 PGP786433:PGP786436 OWT786433:OWT786436 OMX786433:OMX786436 ODB786433:ODB786436 NTF786433:NTF786436 NJJ786433:NJJ786436 MZN786433:MZN786436 MPR786433:MPR786436 MFV786433:MFV786436 LVZ786433:LVZ786436 LMD786433:LMD786436 LCH786433:LCH786436 KSL786433:KSL786436 KIP786433:KIP786436 JYT786433:JYT786436 JOX786433:JOX786436 JFB786433:JFB786436 IVF786433:IVF786436 ILJ786433:ILJ786436 IBN786433:IBN786436 HRR786433:HRR786436 HHV786433:HHV786436 GXZ786433:GXZ786436 GOD786433:GOD786436 GEH786433:GEH786436 FUL786433:FUL786436 FKP786433:FKP786436 FAT786433:FAT786436 EQX786433:EQX786436 EHB786433:EHB786436 DXF786433:DXF786436 DNJ786433:DNJ786436 DDN786433:DDN786436 CTR786433:CTR786436 CJV786433:CJV786436 BZZ786433:BZZ786436 BQD786433:BQD786436 BGH786433:BGH786436 AWL786433:AWL786436 AMP786433:AMP786436 ACT786433:ACT786436 SX786433:SX786436 JB786433:JB786436 F786433:F786436 WVN720897:WVN720900 WLR720897:WLR720900 WBV720897:WBV720900 VRZ720897:VRZ720900 VID720897:VID720900 UYH720897:UYH720900 UOL720897:UOL720900 UEP720897:UEP720900 TUT720897:TUT720900 TKX720897:TKX720900 TBB720897:TBB720900 SRF720897:SRF720900 SHJ720897:SHJ720900 RXN720897:RXN720900 RNR720897:RNR720900 RDV720897:RDV720900 QTZ720897:QTZ720900 QKD720897:QKD720900 QAH720897:QAH720900 PQL720897:PQL720900 PGP720897:PGP720900 OWT720897:OWT720900 OMX720897:OMX720900 ODB720897:ODB720900 NTF720897:NTF720900 NJJ720897:NJJ720900 MZN720897:MZN720900 MPR720897:MPR720900 MFV720897:MFV720900 LVZ720897:LVZ720900 LMD720897:LMD720900 LCH720897:LCH720900 KSL720897:KSL720900 KIP720897:KIP720900 JYT720897:JYT720900 JOX720897:JOX720900 JFB720897:JFB720900 IVF720897:IVF720900 ILJ720897:ILJ720900 IBN720897:IBN720900 HRR720897:HRR720900 HHV720897:HHV720900 GXZ720897:GXZ720900 GOD720897:GOD720900 GEH720897:GEH720900 FUL720897:FUL720900 FKP720897:FKP720900 FAT720897:FAT720900 EQX720897:EQX720900 EHB720897:EHB720900 DXF720897:DXF720900 DNJ720897:DNJ720900 DDN720897:DDN720900 CTR720897:CTR720900 CJV720897:CJV720900 BZZ720897:BZZ720900 BQD720897:BQD720900 BGH720897:BGH720900 AWL720897:AWL720900 AMP720897:AMP720900 ACT720897:ACT720900 SX720897:SX720900 JB720897:JB720900 F720897:F720900 WVN655361:WVN655364 WLR655361:WLR655364 WBV655361:WBV655364 VRZ655361:VRZ655364 VID655361:VID655364 UYH655361:UYH655364 UOL655361:UOL655364 UEP655361:UEP655364 TUT655361:TUT655364 TKX655361:TKX655364 TBB655361:TBB655364 SRF655361:SRF655364 SHJ655361:SHJ655364 RXN655361:RXN655364 RNR655361:RNR655364 RDV655361:RDV655364 QTZ655361:QTZ655364 QKD655361:QKD655364 QAH655361:QAH655364 PQL655361:PQL655364 PGP655361:PGP655364 OWT655361:OWT655364 OMX655361:OMX655364 ODB655361:ODB655364 NTF655361:NTF655364 NJJ655361:NJJ655364 MZN655361:MZN655364 MPR655361:MPR655364 MFV655361:MFV655364 LVZ655361:LVZ655364 LMD655361:LMD655364 LCH655361:LCH655364 KSL655361:KSL655364 KIP655361:KIP655364 JYT655361:JYT655364 JOX655361:JOX655364 JFB655361:JFB655364 IVF655361:IVF655364 ILJ655361:ILJ655364 IBN655361:IBN655364 HRR655361:HRR655364 HHV655361:HHV655364 GXZ655361:GXZ655364 GOD655361:GOD655364 GEH655361:GEH655364 FUL655361:FUL655364 FKP655361:FKP655364 FAT655361:FAT655364 EQX655361:EQX655364 EHB655361:EHB655364 DXF655361:DXF655364 DNJ655361:DNJ655364 DDN655361:DDN655364 CTR655361:CTR655364 CJV655361:CJV655364 BZZ655361:BZZ655364 BQD655361:BQD655364 BGH655361:BGH655364 AWL655361:AWL655364 AMP655361:AMP655364 ACT655361:ACT655364 SX655361:SX655364 JB655361:JB655364 F655361:F655364 WVN589825:WVN589828 WLR589825:WLR589828 WBV589825:WBV589828 VRZ589825:VRZ589828 VID589825:VID589828 UYH589825:UYH589828 UOL589825:UOL589828 UEP589825:UEP589828 TUT589825:TUT589828 TKX589825:TKX589828 TBB589825:TBB589828 SRF589825:SRF589828 SHJ589825:SHJ589828 RXN589825:RXN589828 RNR589825:RNR589828 RDV589825:RDV589828 QTZ589825:QTZ589828 QKD589825:QKD589828 QAH589825:QAH589828 PQL589825:PQL589828 PGP589825:PGP589828 OWT589825:OWT589828 OMX589825:OMX589828 ODB589825:ODB589828 NTF589825:NTF589828 NJJ589825:NJJ589828 MZN589825:MZN589828 MPR589825:MPR589828 MFV589825:MFV589828 LVZ589825:LVZ589828 LMD589825:LMD589828 LCH589825:LCH589828 KSL589825:KSL589828 KIP589825:KIP589828 JYT589825:JYT589828 JOX589825:JOX589828 JFB589825:JFB589828 IVF589825:IVF589828 ILJ589825:ILJ589828 IBN589825:IBN589828 HRR589825:HRR589828 HHV589825:HHV589828 GXZ589825:GXZ589828 GOD589825:GOD589828 GEH589825:GEH589828 FUL589825:FUL589828 FKP589825:FKP589828 FAT589825:FAT589828 EQX589825:EQX589828 EHB589825:EHB589828 DXF589825:DXF589828 DNJ589825:DNJ589828 DDN589825:DDN589828 CTR589825:CTR589828 CJV589825:CJV589828 BZZ589825:BZZ589828 BQD589825:BQD589828 BGH589825:BGH589828 AWL589825:AWL589828 AMP589825:AMP589828 ACT589825:ACT589828 SX589825:SX589828 JB589825:JB589828 F589825:F589828 WVN524289:WVN524292 WLR524289:WLR524292 WBV524289:WBV524292 VRZ524289:VRZ524292 VID524289:VID524292 UYH524289:UYH524292 UOL524289:UOL524292 UEP524289:UEP524292 TUT524289:TUT524292 TKX524289:TKX524292 TBB524289:TBB524292 SRF524289:SRF524292 SHJ524289:SHJ524292 RXN524289:RXN524292 RNR524289:RNR524292 RDV524289:RDV524292 QTZ524289:QTZ524292 QKD524289:QKD524292 QAH524289:QAH524292 PQL524289:PQL524292 PGP524289:PGP524292 OWT524289:OWT524292 OMX524289:OMX524292 ODB524289:ODB524292 NTF524289:NTF524292 NJJ524289:NJJ524292 MZN524289:MZN524292 MPR524289:MPR524292 MFV524289:MFV524292 LVZ524289:LVZ524292 LMD524289:LMD524292 LCH524289:LCH524292 KSL524289:KSL524292 KIP524289:KIP524292 JYT524289:JYT524292 JOX524289:JOX524292 JFB524289:JFB524292 IVF524289:IVF524292 ILJ524289:ILJ524292 IBN524289:IBN524292 HRR524289:HRR524292 HHV524289:HHV524292 GXZ524289:GXZ524292 GOD524289:GOD524292 GEH524289:GEH524292 FUL524289:FUL524292 FKP524289:FKP524292 FAT524289:FAT524292 EQX524289:EQX524292 EHB524289:EHB524292 DXF524289:DXF524292 DNJ524289:DNJ524292 DDN524289:DDN524292 CTR524289:CTR524292 CJV524289:CJV524292 BZZ524289:BZZ524292 BQD524289:BQD524292 BGH524289:BGH524292 AWL524289:AWL524292 AMP524289:AMP524292 ACT524289:ACT524292 SX524289:SX524292 JB524289:JB524292 F524289:F524292 WVN458753:WVN458756 WLR458753:WLR458756 WBV458753:WBV458756 VRZ458753:VRZ458756 VID458753:VID458756 UYH458753:UYH458756 UOL458753:UOL458756 UEP458753:UEP458756 TUT458753:TUT458756 TKX458753:TKX458756 TBB458753:TBB458756 SRF458753:SRF458756 SHJ458753:SHJ458756 RXN458753:RXN458756 RNR458753:RNR458756 RDV458753:RDV458756 QTZ458753:QTZ458756 QKD458753:QKD458756 QAH458753:QAH458756 PQL458753:PQL458756 PGP458753:PGP458756 OWT458753:OWT458756 OMX458753:OMX458756 ODB458753:ODB458756 NTF458753:NTF458756 NJJ458753:NJJ458756 MZN458753:MZN458756 MPR458753:MPR458756 MFV458753:MFV458756 LVZ458753:LVZ458756 LMD458753:LMD458756 LCH458753:LCH458756 KSL458753:KSL458756 KIP458753:KIP458756 JYT458753:JYT458756 JOX458753:JOX458756 JFB458753:JFB458756 IVF458753:IVF458756 ILJ458753:ILJ458756 IBN458753:IBN458756 HRR458753:HRR458756 HHV458753:HHV458756 GXZ458753:GXZ458756 GOD458753:GOD458756 GEH458753:GEH458756 FUL458753:FUL458756 FKP458753:FKP458756 FAT458753:FAT458756 EQX458753:EQX458756 EHB458753:EHB458756 DXF458753:DXF458756 DNJ458753:DNJ458756 DDN458753:DDN458756 CTR458753:CTR458756 CJV458753:CJV458756 BZZ458753:BZZ458756 BQD458753:BQD458756 BGH458753:BGH458756 AWL458753:AWL458756 AMP458753:AMP458756 ACT458753:ACT458756 SX458753:SX458756 JB458753:JB458756 F458753:F458756 WVN393217:WVN393220 WLR393217:WLR393220 WBV393217:WBV393220 VRZ393217:VRZ393220 VID393217:VID393220 UYH393217:UYH393220 UOL393217:UOL393220 UEP393217:UEP393220 TUT393217:TUT393220 TKX393217:TKX393220 TBB393217:TBB393220 SRF393217:SRF393220 SHJ393217:SHJ393220 RXN393217:RXN393220 RNR393217:RNR393220 RDV393217:RDV393220 QTZ393217:QTZ393220 QKD393217:QKD393220 QAH393217:QAH393220 PQL393217:PQL393220 PGP393217:PGP393220 OWT393217:OWT393220 OMX393217:OMX393220 ODB393217:ODB393220 NTF393217:NTF393220 NJJ393217:NJJ393220 MZN393217:MZN393220 MPR393217:MPR393220 MFV393217:MFV393220 LVZ393217:LVZ393220 LMD393217:LMD393220 LCH393217:LCH393220 KSL393217:KSL393220 KIP393217:KIP393220 JYT393217:JYT393220 JOX393217:JOX393220 JFB393217:JFB393220 IVF393217:IVF393220 ILJ393217:ILJ393220 IBN393217:IBN393220 HRR393217:HRR393220 HHV393217:HHV393220 GXZ393217:GXZ393220 GOD393217:GOD393220 GEH393217:GEH393220 FUL393217:FUL393220 FKP393217:FKP393220 FAT393217:FAT393220 EQX393217:EQX393220 EHB393217:EHB393220 DXF393217:DXF393220 DNJ393217:DNJ393220 DDN393217:DDN393220 CTR393217:CTR393220 CJV393217:CJV393220 BZZ393217:BZZ393220 BQD393217:BQD393220 BGH393217:BGH393220 AWL393217:AWL393220 AMP393217:AMP393220 ACT393217:ACT393220 SX393217:SX393220 JB393217:JB393220 F393217:F393220 WVN327681:WVN327684 WLR327681:WLR327684 WBV327681:WBV327684 VRZ327681:VRZ327684 VID327681:VID327684 UYH327681:UYH327684 UOL327681:UOL327684 UEP327681:UEP327684 TUT327681:TUT327684 TKX327681:TKX327684 TBB327681:TBB327684 SRF327681:SRF327684 SHJ327681:SHJ327684 RXN327681:RXN327684 RNR327681:RNR327684 RDV327681:RDV327684 QTZ327681:QTZ327684 QKD327681:QKD327684 QAH327681:QAH327684 PQL327681:PQL327684 PGP327681:PGP327684 OWT327681:OWT327684 OMX327681:OMX327684 ODB327681:ODB327684 NTF327681:NTF327684 NJJ327681:NJJ327684 MZN327681:MZN327684 MPR327681:MPR327684 MFV327681:MFV327684 LVZ327681:LVZ327684 LMD327681:LMD327684 LCH327681:LCH327684 KSL327681:KSL327684 KIP327681:KIP327684 JYT327681:JYT327684 JOX327681:JOX327684 JFB327681:JFB327684 IVF327681:IVF327684 ILJ327681:ILJ327684 IBN327681:IBN327684 HRR327681:HRR327684 HHV327681:HHV327684 GXZ327681:GXZ327684 GOD327681:GOD327684 GEH327681:GEH327684 FUL327681:FUL327684 FKP327681:FKP327684 FAT327681:FAT327684 EQX327681:EQX327684 EHB327681:EHB327684 DXF327681:DXF327684 DNJ327681:DNJ327684 DDN327681:DDN327684 CTR327681:CTR327684 CJV327681:CJV327684 BZZ327681:BZZ327684 BQD327681:BQD327684 BGH327681:BGH327684 AWL327681:AWL327684 AMP327681:AMP327684 ACT327681:ACT327684 SX327681:SX327684 JB327681:JB327684 F327681:F327684 WVN262145:WVN262148 WLR262145:WLR262148 WBV262145:WBV262148 VRZ262145:VRZ262148 VID262145:VID262148 UYH262145:UYH262148 UOL262145:UOL262148 UEP262145:UEP262148 TUT262145:TUT262148 TKX262145:TKX262148 TBB262145:TBB262148 SRF262145:SRF262148 SHJ262145:SHJ262148 RXN262145:RXN262148 RNR262145:RNR262148 RDV262145:RDV262148 QTZ262145:QTZ262148 QKD262145:QKD262148 QAH262145:QAH262148 PQL262145:PQL262148 PGP262145:PGP262148 OWT262145:OWT262148 OMX262145:OMX262148 ODB262145:ODB262148 NTF262145:NTF262148 NJJ262145:NJJ262148 MZN262145:MZN262148 MPR262145:MPR262148 MFV262145:MFV262148 LVZ262145:LVZ262148 LMD262145:LMD262148 LCH262145:LCH262148 KSL262145:KSL262148 KIP262145:KIP262148 JYT262145:JYT262148 JOX262145:JOX262148 JFB262145:JFB262148 IVF262145:IVF262148 ILJ262145:ILJ262148 IBN262145:IBN262148 HRR262145:HRR262148 HHV262145:HHV262148 GXZ262145:GXZ262148 GOD262145:GOD262148 GEH262145:GEH262148 FUL262145:FUL262148 FKP262145:FKP262148 FAT262145:FAT262148 EQX262145:EQX262148 EHB262145:EHB262148 DXF262145:DXF262148 DNJ262145:DNJ262148 DDN262145:DDN262148 CTR262145:CTR262148 CJV262145:CJV262148 BZZ262145:BZZ262148 BQD262145:BQD262148 BGH262145:BGH262148 AWL262145:AWL262148 AMP262145:AMP262148 ACT262145:ACT262148 SX262145:SX262148 JB262145:JB262148 F262145:F262148 WVN196609:WVN196612 WLR196609:WLR196612 WBV196609:WBV196612 VRZ196609:VRZ196612 VID196609:VID196612 UYH196609:UYH196612 UOL196609:UOL196612 UEP196609:UEP196612 TUT196609:TUT196612 TKX196609:TKX196612 TBB196609:TBB196612 SRF196609:SRF196612 SHJ196609:SHJ196612 RXN196609:RXN196612 RNR196609:RNR196612 RDV196609:RDV196612 QTZ196609:QTZ196612 QKD196609:QKD196612 QAH196609:QAH196612 PQL196609:PQL196612 PGP196609:PGP196612 OWT196609:OWT196612 OMX196609:OMX196612 ODB196609:ODB196612 NTF196609:NTF196612 NJJ196609:NJJ196612 MZN196609:MZN196612 MPR196609:MPR196612 MFV196609:MFV196612 LVZ196609:LVZ196612 LMD196609:LMD196612 LCH196609:LCH196612 KSL196609:KSL196612 KIP196609:KIP196612 JYT196609:JYT196612 JOX196609:JOX196612 JFB196609:JFB196612 IVF196609:IVF196612 ILJ196609:ILJ196612 IBN196609:IBN196612 HRR196609:HRR196612 HHV196609:HHV196612 GXZ196609:GXZ196612 GOD196609:GOD196612 GEH196609:GEH196612 FUL196609:FUL196612 FKP196609:FKP196612 FAT196609:FAT196612 EQX196609:EQX196612 EHB196609:EHB196612 DXF196609:DXF196612 DNJ196609:DNJ196612 DDN196609:DDN196612 CTR196609:CTR196612 CJV196609:CJV196612 BZZ196609:BZZ196612 BQD196609:BQD196612 BGH196609:BGH196612 AWL196609:AWL196612 AMP196609:AMP196612 ACT196609:ACT196612 SX196609:SX196612 JB196609:JB196612 F196609:F196612 WVN131073:WVN131076 WLR131073:WLR131076 WBV131073:WBV131076 VRZ131073:VRZ131076 VID131073:VID131076 UYH131073:UYH131076 UOL131073:UOL131076 UEP131073:UEP131076 TUT131073:TUT131076 TKX131073:TKX131076 TBB131073:TBB131076 SRF131073:SRF131076 SHJ131073:SHJ131076 RXN131073:RXN131076 RNR131073:RNR131076 RDV131073:RDV131076 QTZ131073:QTZ131076 QKD131073:QKD131076 QAH131073:QAH131076 PQL131073:PQL131076 PGP131073:PGP131076 OWT131073:OWT131076 OMX131073:OMX131076 ODB131073:ODB131076 NTF131073:NTF131076 NJJ131073:NJJ131076 MZN131073:MZN131076 MPR131073:MPR131076 MFV131073:MFV131076 LVZ131073:LVZ131076 LMD131073:LMD131076 LCH131073:LCH131076 KSL131073:KSL131076 KIP131073:KIP131076 JYT131073:JYT131076 JOX131073:JOX131076 JFB131073:JFB131076 IVF131073:IVF131076 ILJ131073:ILJ131076 IBN131073:IBN131076 HRR131073:HRR131076 HHV131073:HHV131076 GXZ131073:GXZ131076 GOD131073:GOD131076 GEH131073:GEH131076 FUL131073:FUL131076 FKP131073:FKP131076 FAT131073:FAT131076 EQX131073:EQX131076 EHB131073:EHB131076 DXF131073:DXF131076 DNJ131073:DNJ131076 DDN131073:DDN131076 CTR131073:CTR131076 CJV131073:CJV131076 BZZ131073:BZZ131076 BQD131073:BQD131076 BGH131073:BGH131076 AWL131073:AWL131076 AMP131073:AMP131076 ACT131073:ACT131076 SX131073:SX131076 JB131073:JB131076 F131073:F131076 WVN65537:WVN65540 WLR65537:WLR65540 WBV65537:WBV65540 VRZ65537:VRZ65540 VID65537:VID65540 UYH65537:UYH65540 UOL65537:UOL65540 UEP65537:UEP65540 TUT65537:TUT65540 TKX65537:TKX65540 TBB65537:TBB65540 SRF65537:SRF65540 SHJ65537:SHJ65540 RXN65537:RXN65540 RNR65537:RNR65540 RDV65537:RDV65540 QTZ65537:QTZ65540 QKD65537:QKD65540 QAH65537:QAH65540 PQL65537:PQL65540 PGP65537:PGP65540 OWT65537:OWT65540 OMX65537:OMX65540 ODB65537:ODB65540 NTF65537:NTF65540 NJJ65537:NJJ65540 MZN65537:MZN65540 MPR65537:MPR65540 MFV65537:MFV65540 LVZ65537:LVZ65540 LMD65537:LMD65540 LCH65537:LCH65540 KSL65537:KSL65540 KIP65537:KIP65540 JYT65537:JYT65540 JOX65537:JOX65540 JFB65537:JFB65540 IVF65537:IVF65540 ILJ65537:ILJ65540 IBN65537:IBN65540 HRR65537:HRR65540 HHV65537:HHV65540 GXZ65537:GXZ65540 GOD65537:GOD65540 GEH65537:GEH65540 FUL65537:FUL65540 FKP65537:FKP65540 FAT65537:FAT65540 EQX65537:EQX65540 EHB65537:EHB65540 DXF65537:DXF65540 DNJ65537:DNJ65540 DDN65537:DDN65540 CTR65537:CTR65540 CJV65537:CJV65540 BZZ65537:BZZ65540 BQD65537:BQD65540 BGH65537:BGH65540 AWL65537:AWL65540 AMP65537:AMP65540 ACT65537:ACT65540 SX65537:SX65540 JB65537:JB65540 F65537:F65540 WVN3:WVN6 WLR3:WLR6 WBV3:WBV6 VRZ3:VRZ6 VID3:VID6 UYH3:UYH6 UOL3:UOL6 UEP3:UEP6 TUT3:TUT6 TKX3:TKX6 TBB3:TBB6 SRF3:SRF6 SHJ3:SHJ6 RXN3:RXN6 RNR3:RNR6 RDV3:RDV6 QTZ3:QTZ6 QKD3:QKD6 QAH3:QAH6 PQL3:PQL6 PGP3:PGP6 OWT3:OWT6 OMX3:OMX6 ODB3:ODB6 NTF3:NTF6 NJJ3:NJJ6 MZN3:MZN6 MPR3:MPR6 MFV3:MFV6 LVZ3:LVZ6 LMD3:LMD6 LCH3:LCH6 KSL3:KSL6 KIP3:KIP6 JYT3:JYT6 JOX3:JOX6 JFB3:JFB6 IVF3:IVF6 ILJ3:ILJ6 IBN3:IBN6 HRR3:HRR6 HHV3:HHV6 GXZ3:GXZ6 GOD3:GOD6 GEH3:GEH6 FUL3:FUL6 FKP3:FKP6 FAT3:FAT6 EQX3:EQX6 EHB3:EHB6 DXF3:DXF6 DNJ3:DNJ6 DDN3:DDN6 CTR3:CTR6 CJV3:CJV6 BZZ3:BZZ6 BQD3:BQD6 BGH3:BGH6 AWL3:AWL6 AMP3:AMP6 ACT3:ACT6 SX3:SX6 JB3:JB6 F3:F6 WVJ983041:WVL983057 WLN983041:WLP983057 WBR983041:WBT983057 VRV983041:VRX983057 VHZ983041:VIB983057 UYD983041:UYF983057 UOH983041:UOJ983057 UEL983041:UEN983057 TUP983041:TUR983057 TKT983041:TKV983057 TAX983041:TAZ983057 SRB983041:SRD983057 SHF983041:SHH983057 RXJ983041:RXL983057 RNN983041:RNP983057 RDR983041:RDT983057 QTV983041:QTX983057 QJZ983041:QKB983057 QAD983041:QAF983057 PQH983041:PQJ983057 PGL983041:PGN983057 OWP983041:OWR983057 OMT983041:OMV983057 OCX983041:OCZ983057 NTB983041:NTD983057 NJF983041:NJH983057 MZJ983041:MZL983057 MPN983041:MPP983057 MFR983041:MFT983057 LVV983041:LVX983057 LLZ983041:LMB983057 LCD983041:LCF983057 KSH983041:KSJ983057 KIL983041:KIN983057 JYP983041:JYR983057 JOT983041:JOV983057 JEX983041:JEZ983057 IVB983041:IVD983057 ILF983041:ILH983057 IBJ983041:IBL983057 HRN983041:HRP983057 HHR983041:HHT983057 GXV983041:GXX983057 GNZ983041:GOB983057 GED983041:GEF983057 FUH983041:FUJ983057 FKL983041:FKN983057 FAP983041:FAR983057 EQT983041:EQV983057 EGX983041:EGZ983057 DXB983041:DXD983057 DNF983041:DNH983057 DDJ983041:DDL983057 CTN983041:CTP983057 CJR983041:CJT983057 BZV983041:BZX983057 BPZ983041:BQB983057 BGD983041:BGF983057 AWH983041:AWJ983057 AML983041:AMN983057 ACP983041:ACR983057 ST983041:SV983057 IX983041:IZ983057 B983041:D983057 WVJ917505:WVL917521 WLN917505:WLP917521 WBR917505:WBT917521 VRV917505:VRX917521 VHZ917505:VIB917521 UYD917505:UYF917521 UOH917505:UOJ917521 UEL917505:UEN917521 TUP917505:TUR917521 TKT917505:TKV917521 TAX917505:TAZ917521 SRB917505:SRD917521 SHF917505:SHH917521 RXJ917505:RXL917521 RNN917505:RNP917521 RDR917505:RDT917521 QTV917505:QTX917521 QJZ917505:QKB917521 QAD917505:QAF917521 PQH917505:PQJ917521 PGL917505:PGN917521 OWP917505:OWR917521 OMT917505:OMV917521 OCX917505:OCZ917521 NTB917505:NTD917521 NJF917505:NJH917521 MZJ917505:MZL917521 MPN917505:MPP917521 MFR917505:MFT917521 LVV917505:LVX917521 LLZ917505:LMB917521 LCD917505:LCF917521 KSH917505:KSJ917521 KIL917505:KIN917521 JYP917505:JYR917521 JOT917505:JOV917521 JEX917505:JEZ917521 IVB917505:IVD917521 ILF917505:ILH917521 IBJ917505:IBL917521 HRN917505:HRP917521 HHR917505:HHT917521 GXV917505:GXX917521 GNZ917505:GOB917521 GED917505:GEF917521 FUH917505:FUJ917521 FKL917505:FKN917521 FAP917505:FAR917521 EQT917505:EQV917521 EGX917505:EGZ917521 DXB917505:DXD917521 DNF917505:DNH917521 DDJ917505:DDL917521 CTN917505:CTP917521 CJR917505:CJT917521 BZV917505:BZX917521 BPZ917505:BQB917521 BGD917505:BGF917521 AWH917505:AWJ917521 AML917505:AMN917521 ACP917505:ACR917521 ST917505:SV917521 IX917505:IZ917521 B917505:D917521 WVJ851969:WVL851985 WLN851969:WLP851985 WBR851969:WBT851985 VRV851969:VRX851985 VHZ851969:VIB851985 UYD851969:UYF851985 UOH851969:UOJ851985 UEL851969:UEN851985 TUP851969:TUR851985 TKT851969:TKV851985 TAX851969:TAZ851985 SRB851969:SRD851985 SHF851969:SHH851985 RXJ851969:RXL851985 RNN851969:RNP851985 RDR851969:RDT851985 QTV851969:QTX851985 QJZ851969:QKB851985 QAD851969:QAF851985 PQH851969:PQJ851985 PGL851969:PGN851985 OWP851969:OWR851985 OMT851969:OMV851985 OCX851969:OCZ851985 NTB851969:NTD851985 NJF851969:NJH851985 MZJ851969:MZL851985 MPN851969:MPP851985 MFR851969:MFT851985 LVV851969:LVX851985 LLZ851969:LMB851985 LCD851969:LCF851985 KSH851969:KSJ851985 KIL851969:KIN851985 JYP851969:JYR851985 JOT851969:JOV851985 JEX851969:JEZ851985 IVB851969:IVD851985 ILF851969:ILH851985 IBJ851969:IBL851985 HRN851969:HRP851985 HHR851969:HHT851985 GXV851969:GXX851985 GNZ851969:GOB851985 GED851969:GEF851985 FUH851969:FUJ851985 FKL851969:FKN851985 FAP851969:FAR851985 EQT851969:EQV851985 EGX851969:EGZ851985 DXB851969:DXD851985 DNF851969:DNH851985 DDJ851969:DDL851985 CTN851969:CTP851985 CJR851969:CJT851985 BZV851969:BZX851985 BPZ851969:BQB851985 BGD851969:BGF851985 AWH851969:AWJ851985 AML851969:AMN851985 ACP851969:ACR851985 ST851969:SV851985 IX851969:IZ851985 B851969:D851985 WVJ786433:WVL786449 WLN786433:WLP786449 WBR786433:WBT786449 VRV786433:VRX786449 VHZ786433:VIB786449 UYD786433:UYF786449 UOH786433:UOJ786449 UEL786433:UEN786449 TUP786433:TUR786449 TKT786433:TKV786449 TAX786433:TAZ786449 SRB786433:SRD786449 SHF786433:SHH786449 RXJ786433:RXL786449 RNN786433:RNP786449 RDR786433:RDT786449 QTV786433:QTX786449 QJZ786433:QKB786449 QAD786433:QAF786449 PQH786433:PQJ786449 PGL786433:PGN786449 OWP786433:OWR786449 OMT786433:OMV786449 OCX786433:OCZ786449 NTB786433:NTD786449 NJF786433:NJH786449 MZJ786433:MZL786449 MPN786433:MPP786449 MFR786433:MFT786449 LVV786433:LVX786449 LLZ786433:LMB786449 LCD786433:LCF786449 KSH786433:KSJ786449 KIL786433:KIN786449 JYP786433:JYR786449 JOT786433:JOV786449 JEX786433:JEZ786449 IVB786433:IVD786449 ILF786433:ILH786449 IBJ786433:IBL786449 HRN786433:HRP786449 HHR786433:HHT786449 GXV786433:GXX786449 GNZ786433:GOB786449 GED786433:GEF786449 FUH786433:FUJ786449 FKL786433:FKN786449 FAP786433:FAR786449 EQT786433:EQV786449 EGX786433:EGZ786449 DXB786433:DXD786449 DNF786433:DNH786449 DDJ786433:DDL786449 CTN786433:CTP786449 CJR786433:CJT786449 BZV786433:BZX786449 BPZ786433:BQB786449 BGD786433:BGF786449 AWH786433:AWJ786449 AML786433:AMN786449 ACP786433:ACR786449 ST786433:SV786449 IX786433:IZ786449 B786433:D786449 WVJ720897:WVL720913 WLN720897:WLP720913 WBR720897:WBT720913 VRV720897:VRX720913 VHZ720897:VIB720913 UYD720897:UYF720913 UOH720897:UOJ720913 UEL720897:UEN720913 TUP720897:TUR720913 TKT720897:TKV720913 TAX720897:TAZ720913 SRB720897:SRD720913 SHF720897:SHH720913 RXJ720897:RXL720913 RNN720897:RNP720913 RDR720897:RDT720913 QTV720897:QTX720913 QJZ720897:QKB720913 QAD720897:QAF720913 PQH720897:PQJ720913 PGL720897:PGN720913 OWP720897:OWR720913 OMT720897:OMV720913 OCX720897:OCZ720913 NTB720897:NTD720913 NJF720897:NJH720913 MZJ720897:MZL720913 MPN720897:MPP720913 MFR720897:MFT720913 LVV720897:LVX720913 LLZ720897:LMB720913 LCD720897:LCF720913 KSH720897:KSJ720913 KIL720897:KIN720913 JYP720897:JYR720913 JOT720897:JOV720913 JEX720897:JEZ720913 IVB720897:IVD720913 ILF720897:ILH720913 IBJ720897:IBL720913 HRN720897:HRP720913 HHR720897:HHT720913 GXV720897:GXX720913 GNZ720897:GOB720913 GED720897:GEF720913 FUH720897:FUJ720913 FKL720897:FKN720913 FAP720897:FAR720913 EQT720897:EQV720913 EGX720897:EGZ720913 DXB720897:DXD720913 DNF720897:DNH720913 DDJ720897:DDL720913 CTN720897:CTP720913 CJR720897:CJT720913 BZV720897:BZX720913 BPZ720897:BQB720913 BGD720897:BGF720913 AWH720897:AWJ720913 AML720897:AMN720913 ACP720897:ACR720913 ST720897:SV720913 IX720897:IZ720913 B720897:D720913 WVJ655361:WVL655377 WLN655361:WLP655377 WBR655361:WBT655377 VRV655361:VRX655377 VHZ655361:VIB655377 UYD655361:UYF655377 UOH655361:UOJ655377 UEL655361:UEN655377 TUP655361:TUR655377 TKT655361:TKV655377 TAX655361:TAZ655377 SRB655361:SRD655377 SHF655361:SHH655377 RXJ655361:RXL655377 RNN655361:RNP655377 RDR655361:RDT655377 QTV655361:QTX655377 QJZ655361:QKB655377 QAD655361:QAF655377 PQH655361:PQJ655377 PGL655361:PGN655377 OWP655361:OWR655377 OMT655361:OMV655377 OCX655361:OCZ655377 NTB655361:NTD655377 NJF655361:NJH655377 MZJ655361:MZL655377 MPN655361:MPP655377 MFR655361:MFT655377 LVV655361:LVX655377 LLZ655361:LMB655377 LCD655361:LCF655377 KSH655361:KSJ655377 KIL655361:KIN655377 JYP655361:JYR655377 JOT655361:JOV655377 JEX655361:JEZ655377 IVB655361:IVD655377 ILF655361:ILH655377 IBJ655361:IBL655377 HRN655361:HRP655377 HHR655361:HHT655377 GXV655361:GXX655377 GNZ655361:GOB655377 GED655361:GEF655377 FUH655361:FUJ655377 FKL655361:FKN655377 FAP655361:FAR655377 EQT655361:EQV655377 EGX655361:EGZ655377 DXB655361:DXD655377 DNF655361:DNH655377 DDJ655361:DDL655377 CTN655361:CTP655377 CJR655361:CJT655377 BZV655361:BZX655377 BPZ655361:BQB655377 BGD655361:BGF655377 AWH655361:AWJ655377 AML655361:AMN655377 ACP655361:ACR655377 ST655361:SV655377 IX655361:IZ655377 B655361:D655377 WVJ589825:WVL589841 WLN589825:WLP589841 WBR589825:WBT589841 VRV589825:VRX589841 VHZ589825:VIB589841 UYD589825:UYF589841 UOH589825:UOJ589841 UEL589825:UEN589841 TUP589825:TUR589841 TKT589825:TKV589841 TAX589825:TAZ589841 SRB589825:SRD589841 SHF589825:SHH589841 RXJ589825:RXL589841 RNN589825:RNP589841 RDR589825:RDT589841 QTV589825:QTX589841 QJZ589825:QKB589841 QAD589825:QAF589841 PQH589825:PQJ589841 PGL589825:PGN589841 OWP589825:OWR589841 OMT589825:OMV589841 OCX589825:OCZ589841 NTB589825:NTD589841 NJF589825:NJH589841 MZJ589825:MZL589841 MPN589825:MPP589841 MFR589825:MFT589841 LVV589825:LVX589841 LLZ589825:LMB589841 LCD589825:LCF589841 KSH589825:KSJ589841 KIL589825:KIN589841 JYP589825:JYR589841 JOT589825:JOV589841 JEX589825:JEZ589841 IVB589825:IVD589841 ILF589825:ILH589841 IBJ589825:IBL589841 HRN589825:HRP589841 HHR589825:HHT589841 GXV589825:GXX589841 GNZ589825:GOB589841 GED589825:GEF589841 FUH589825:FUJ589841 FKL589825:FKN589841 FAP589825:FAR589841 EQT589825:EQV589841 EGX589825:EGZ589841 DXB589825:DXD589841 DNF589825:DNH589841 DDJ589825:DDL589841 CTN589825:CTP589841 CJR589825:CJT589841 BZV589825:BZX589841 BPZ589825:BQB589841 BGD589825:BGF589841 AWH589825:AWJ589841 AML589825:AMN589841 ACP589825:ACR589841 ST589825:SV589841 IX589825:IZ589841 B589825:D589841 WVJ524289:WVL524305 WLN524289:WLP524305 WBR524289:WBT524305 VRV524289:VRX524305 VHZ524289:VIB524305 UYD524289:UYF524305 UOH524289:UOJ524305 UEL524289:UEN524305 TUP524289:TUR524305 TKT524289:TKV524305 TAX524289:TAZ524305 SRB524289:SRD524305 SHF524289:SHH524305 RXJ524289:RXL524305 RNN524289:RNP524305 RDR524289:RDT524305 QTV524289:QTX524305 QJZ524289:QKB524305 QAD524289:QAF524305 PQH524289:PQJ524305 PGL524289:PGN524305 OWP524289:OWR524305 OMT524289:OMV524305 OCX524289:OCZ524305 NTB524289:NTD524305 NJF524289:NJH524305 MZJ524289:MZL524305 MPN524289:MPP524305 MFR524289:MFT524305 LVV524289:LVX524305 LLZ524289:LMB524305 LCD524289:LCF524305 KSH524289:KSJ524305 KIL524289:KIN524305 JYP524289:JYR524305 JOT524289:JOV524305 JEX524289:JEZ524305 IVB524289:IVD524305 ILF524289:ILH524305 IBJ524289:IBL524305 HRN524289:HRP524305 HHR524289:HHT524305 GXV524289:GXX524305 GNZ524289:GOB524305 GED524289:GEF524305 FUH524289:FUJ524305 FKL524289:FKN524305 FAP524289:FAR524305 EQT524289:EQV524305 EGX524289:EGZ524305 DXB524289:DXD524305 DNF524289:DNH524305 DDJ524289:DDL524305 CTN524289:CTP524305 CJR524289:CJT524305 BZV524289:BZX524305 BPZ524289:BQB524305 BGD524289:BGF524305 AWH524289:AWJ524305 AML524289:AMN524305 ACP524289:ACR524305 ST524289:SV524305 IX524289:IZ524305 B524289:D524305 WVJ458753:WVL458769 WLN458753:WLP458769 WBR458753:WBT458769 VRV458753:VRX458769 VHZ458753:VIB458769 UYD458753:UYF458769 UOH458753:UOJ458769 UEL458753:UEN458769 TUP458753:TUR458769 TKT458753:TKV458769 TAX458753:TAZ458769 SRB458753:SRD458769 SHF458753:SHH458769 RXJ458753:RXL458769 RNN458753:RNP458769 RDR458753:RDT458769 QTV458753:QTX458769 QJZ458753:QKB458769 QAD458753:QAF458769 PQH458753:PQJ458769 PGL458753:PGN458769 OWP458753:OWR458769 OMT458753:OMV458769 OCX458753:OCZ458769 NTB458753:NTD458769 NJF458753:NJH458769 MZJ458753:MZL458769 MPN458753:MPP458769 MFR458753:MFT458769 LVV458753:LVX458769 LLZ458753:LMB458769 LCD458753:LCF458769 KSH458753:KSJ458769 KIL458753:KIN458769 JYP458753:JYR458769 JOT458753:JOV458769 JEX458753:JEZ458769 IVB458753:IVD458769 ILF458753:ILH458769 IBJ458753:IBL458769 HRN458753:HRP458769 HHR458753:HHT458769 GXV458753:GXX458769 GNZ458753:GOB458769 GED458753:GEF458769 FUH458753:FUJ458769 FKL458753:FKN458769 FAP458753:FAR458769 EQT458753:EQV458769 EGX458753:EGZ458769 DXB458753:DXD458769 DNF458753:DNH458769 DDJ458753:DDL458769 CTN458753:CTP458769 CJR458753:CJT458769 BZV458753:BZX458769 BPZ458753:BQB458769 BGD458753:BGF458769 AWH458753:AWJ458769 AML458753:AMN458769 ACP458753:ACR458769 ST458753:SV458769 IX458753:IZ458769 B458753:D458769 WVJ393217:WVL393233 WLN393217:WLP393233 WBR393217:WBT393233 VRV393217:VRX393233 VHZ393217:VIB393233 UYD393217:UYF393233 UOH393217:UOJ393233 UEL393217:UEN393233 TUP393217:TUR393233 TKT393217:TKV393233 TAX393217:TAZ393233 SRB393217:SRD393233 SHF393217:SHH393233 RXJ393217:RXL393233 RNN393217:RNP393233 RDR393217:RDT393233 QTV393217:QTX393233 QJZ393217:QKB393233 QAD393217:QAF393233 PQH393217:PQJ393233 PGL393217:PGN393233 OWP393217:OWR393233 OMT393217:OMV393233 OCX393217:OCZ393233 NTB393217:NTD393233 NJF393217:NJH393233 MZJ393217:MZL393233 MPN393217:MPP393233 MFR393217:MFT393233 LVV393217:LVX393233 LLZ393217:LMB393233 LCD393217:LCF393233 KSH393217:KSJ393233 KIL393217:KIN393233 JYP393217:JYR393233 JOT393217:JOV393233 JEX393217:JEZ393233 IVB393217:IVD393233 ILF393217:ILH393233 IBJ393217:IBL393233 HRN393217:HRP393233 HHR393217:HHT393233 GXV393217:GXX393233 GNZ393217:GOB393233 GED393217:GEF393233 FUH393217:FUJ393233 FKL393217:FKN393233 FAP393217:FAR393233 EQT393217:EQV393233 EGX393217:EGZ393233 DXB393217:DXD393233 DNF393217:DNH393233 DDJ393217:DDL393233 CTN393217:CTP393233 CJR393217:CJT393233 BZV393217:BZX393233 BPZ393217:BQB393233 BGD393217:BGF393233 AWH393217:AWJ393233 AML393217:AMN393233 ACP393217:ACR393233 ST393217:SV393233 IX393217:IZ393233 B393217:D393233 WVJ327681:WVL327697 WLN327681:WLP327697 WBR327681:WBT327697 VRV327681:VRX327697 VHZ327681:VIB327697 UYD327681:UYF327697 UOH327681:UOJ327697 UEL327681:UEN327697 TUP327681:TUR327697 TKT327681:TKV327697 TAX327681:TAZ327697 SRB327681:SRD327697 SHF327681:SHH327697 RXJ327681:RXL327697 RNN327681:RNP327697 RDR327681:RDT327697 QTV327681:QTX327697 QJZ327681:QKB327697 QAD327681:QAF327697 PQH327681:PQJ327697 PGL327681:PGN327697 OWP327681:OWR327697 OMT327681:OMV327697 OCX327681:OCZ327697 NTB327681:NTD327697 NJF327681:NJH327697 MZJ327681:MZL327697 MPN327681:MPP327697 MFR327681:MFT327697 LVV327681:LVX327697 LLZ327681:LMB327697 LCD327681:LCF327697 KSH327681:KSJ327697 KIL327681:KIN327697 JYP327681:JYR327697 JOT327681:JOV327697 JEX327681:JEZ327697 IVB327681:IVD327697 ILF327681:ILH327697 IBJ327681:IBL327697 HRN327681:HRP327697 HHR327681:HHT327697 GXV327681:GXX327697 GNZ327681:GOB327697 GED327681:GEF327697 FUH327681:FUJ327697 FKL327681:FKN327697 FAP327681:FAR327697 EQT327681:EQV327697 EGX327681:EGZ327697 DXB327681:DXD327697 DNF327681:DNH327697 DDJ327681:DDL327697 CTN327681:CTP327697 CJR327681:CJT327697 BZV327681:BZX327697 BPZ327681:BQB327697 BGD327681:BGF327697 AWH327681:AWJ327697 AML327681:AMN327697 ACP327681:ACR327697 ST327681:SV327697 IX327681:IZ327697 B327681:D327697 WVJ262145:WVL262161 WLN262145:WLP262161 WBR262145:WBT262161 VRV262145:VRX262161 VHZ262145:VIB262161 UYD262145:UYF262161 UOH262145:UOJ262161 UEL262145:UEN262161 TUP262145:TUR262161 TKT262145:TKV262161 TAX262145:TAZ262161 SRB262145:SRD262161 SHF262145:SHH262161 RXJ262145:RXL262161 RNN262145:RNP262161 RDR262145:RDT262161 QTV262145:QTX262161 QJZ262145:QKB262161 QAD262145:QAF262161 PQH262145:PQJ262161 PGL262145:PGN262161 OWP262145:OWR262161 OMT262145:OMV262161 OCX262145:OCZ262161 NTB262145:NTD262161 NJF262145:NJH262161 MZJ262145:MZL262161 MPN262145:MPP262161 MFR262145:MFT262161 LVV262145:LVX262161 LLZ262145:LMB262161 LCD262145:LCF262161 KSH262145:KSJ262161 KIL262145:KIN262161 JYP262145:JYR262161 JOT262145:JOV262161 JEX262145:JEZ262161 IVB262145:IVD262161 ILF262145:ILH262161 IBJ262145:IBL262161 HRN262145:HRP262161 HHR262145:HHT262161 GXV262145:GXX262161 GNZ262145:GOB262161 GED262145:GEF262161 FUH262145:FUJ262161 FKL262145:FKN262161 FAP262145:FAR262161 EQT262145:EQV262161 EGX262145:EGZ262161 DXB262145:DXD262161 DNF262145:DNH262161 DDJ262145:DDL262161 CTN262145:CTP262161 CJR262145:CJT262161 BZV262145:BZX262161 BPZ262145:BQB262161 BGD262145:BGF262161 AWH262145:AWJ262161 AML262145:AMN262161 ACP262145:ACR262161 ST262145:SV262161 IX262145:IZ262161 B262145:D262161 WVJ196609:WVL196625 WLN196609:WLP196625 WBR196609:WBT196625 VRV196609:VRX196625 VHZ196609:VIB196625 UYD196609:UYF196625 UOH196609:UOJ196625 UEL196609:UEN196625 TUP196609:TUR196625 TKT196609:TKV196625 TAX196609:TAZ196625 SRB196609:SRD196625 SHF196609:SHH196625 RXJ196609:RXL196625 RNN196609:RNP196625 RDR196609:RDT196625 QTV196609:QTX196625 QJZ196609:QKB196625 QAD196609:QAF196625 PQH196609:PQJ196625 PGL196609:PGN196625 OWP196609:OWR196625 OMT196609:OMV196625 OCX196609:OCZ196625 NTB196609:NTD196625 NJF196609:NJH196625 MZJ196609:MZL196625 MPN196609:MPP196625 MFR196609:MFT196625 LVV196609:LVX196625 LLZ196609:LMB196625 LCD196609:LCF196625 KSH196609:KSJ196625 KIL196609:KIN196625 JYP196609:JYR196625 JOT196609:JOV196625 JEX196609:JEZ196625 IVB196609:IVD196625 ILF196609:ILH196625 IBJ196609:IBL196625 HRN196609:HRP196625 HHR196609:HHT196625 GXV196609:GXX196625 GNZ196609:GOB196625 GED196609:GEF196625 FUH196609:FUJ196625 FKL196609:FKN196625 FAP196609:FAR196625 EQT196609:EQV196625 EGX196609:EGZ196625 DXB196609:DXD196625 DNF196609:DNH196625 DDJ196609:DDL196625 CTN196609:CTP196625 CJR196609:CJT196625 BZV196609:BZX196625 BPZ196609:BQB196625 BGD196609:BGF196625 AWH196609:AWJ196625 AML196609:AMN196625 ACP196609:ACR196625 ST196609:SV196625 IX196609:IZ196625 B196609:D196625 WVJ131073:WVL131089 WLN131073:WLP131089 WBR131073:WBT131089 VRV131073:VRX131089 VHZ131073:VIB131089 UYD131073:UYF131089 UOH131073:UOJ131089 UEL131073:UEN131089 TUP131073:TUR131089 TKT131073:TKV131089 TAX131073:TAZ131089 SRB131073:SRD131089 SHF131073:SHH131089 RXJ131073:RXL131089 RNN131073:RNP131089 RDR131073:RDT131089 QTV131073:QTX131089 QJZ131073:QKB131089 QAD131073:QAF131089 PQH131073:PQJ131089 PGL131073:PGN131089 OWP131073:OWR131089 OMT131073:OMV131089 OCX131073:OCZ131089 NTB131073:NTD131089 NJF131073:NJH131089 MZJ131073:MZL131089 MPN131073:MPP131089 MFR131073:MFT131089 LVV131073:LVX131089 LLZ131073:LMB131089 LCD131073:LCF131089 KSH131073:KSJ131089 KIL131073:KIN131089 JYP131073:JYR131089 JOT131073:JOV131089 JEX131073:JEZ131089 IVB131073:IVD131089 ILF131073:ILH131089 IBJ131073:IBL131089 HRN131073:HRP131089 HHR131073:HHT131089 GXV131073:GXX131089 GNZ131073:GOB131089 GED131073:GEF131089 FUH131073:FUJ131089 FKL131073:FKN131089 FAP131073:FAR131089 EQT131073:EQV131089 EGX131073:EGZ131089 DXB131073:DXD131089 DNF131073:DNH131089 DDJ131073:DDL131089 CTN131073:CTP131089 CJR131073:CJT131089 BZV131073:BZX131089 BPZ131073:BQB131089 BGD131073:BGF131089 AWH131073:AWJ131089 AML131073:AMN131089 ACP131073:ACR131089 ST131073:SV131089 IX131073:IZ131089 B131073:D131089 WVJ65537:WVL65553 WLN65537:WLP65553 WBR65537:WBT65553 VRV65537:VRX65553 VHZ65537:VIB65553 UYD65537:UYF65553 UOH65537:UOJ65553 UEL65537:UEN65553 TUP65537:TUR65553 TKT65537:TKV65553 TAX65537:TAZ65553 SRB65537:SRD65553 SHF65537:SHH65553 RXJ65537:RXL65553 RNN65537:RNP65553 RDR65537:RDT65553 QTV65537:QTX65553 QJZ65537:QKB65553 QAD65537:QAF65553 PQH65537:PQJ65553 PGL65537:PGN65553 OWP65537:OWR65553 OMT65537:OMV65553 OCX65537:OCZ65553 NTB65537:NTD65553 NJF65537:NJH65553 MZJ65537:MZL65553 MPN65537:MPP65553 MFR65537:MFT65553 LVV65537:LVX65553 LLZ65537:LMB65553 LCD65537:LCF65553 KSH65537:KSJ65553 KIL65537:KIN65553 JYP65537:JYR65553 JOT65537:JOV65553 JEX65537:JEZ65553 IVB65537:IVD65553 ILF65537:ILH65553 IBJ65537:IBL65553 HRN65537:HRP65553 HHR65537:HHT65553 GXV65537:GXX65553 GNZ65537:GOB65553 GED65537:GEF65553 FUH65537:FUJ65553 FKL65537:FKN65553 FAP65537:FAR65553 EQT65537:EQV65553 EGX65537:EGZ65553 DXB65537:DXD65553 DNF65537:DNH65553 DDJ65537:DDL65553 CTN65537:CTP65553 CJR65537:CJT65553 BZV65537:BZX65553 BPZ65537:BQB65553 BGD65537:BGF65553 AWH65537:AWJ65553 AML65537:AMN65553 ACP65537:ACR65553 ST65537:SV65553 IX65537:IZ65553 B65537:D65553 WVJ3:WVL19 WLN3:WLP19 WBR3:WBT19 VRV3:VRX19 VHZ3:VIB19 UYD3:UYF19 UOH3:UOJ19 UEL3:UEN19 TUP3:TUR19 TKT3:TKV19 TAX3:TAZ19 SRB3:SRD19 SHF3:SHH19 RXJ3:RXL19 RNN3:RNP19 RDR3:RDT19 QTV3:QTX19 QJZ3:QKB19 QAD3:QAF19 PQH3:PQJ19 PGL3:PGN19 OWP3:OWR19 OMT3:OMV19 OCX3:OCZ19 NTB3:NTD19 NJF3:NJH19 MZJ3:MZL19 MPN3:MPP19 MFR3:MFT19 LVV3:LVX19 LLZ3:LMB19 LCD3:LCF19 KSH3:KSJ19 KIL3:KIN19 JYP3:JYR19 JOT3:JOV19 JEX3:JEZ19 IVB3:IVD19 ILF3:ILH19 IBJ3:IBL19 HRN3:HRP19 HHR3:HHT19 GXV3:GXX19 GNZ3:GOB19 GED3:GEF19 FUH3:FUJ19 FKL3:FKN19 FAP3:FAR19 EQT3:EQV19 EGX3:EGZ19 DXB3:DXD19 DNF3:DNH19 DDJ3:DDL19 CTN3:CTP19 CJR3:CJT19 BZV3:BZX19 BPZ3:BQB19 BGD3:BGF19 AWH3:AWJ19 AML3:AMN19 ACP3:ACR19 ST3:SV19 IX3:IZ19 IW18:IW19 WVI983056:WVI983057 WLM983056:WLM983057 WBQ983056:WBQ983057 VRU983056:VRU983057 VHY983056:VHY983057 UYC983056:UYC983057 UOG983056:UOG983057 UEK983056:UEK983057 TUO983056:TUO983057 TKS983056:TKS983057 TAW983056:TAW983057 SRA983056:SRA983057 SHE983056:SHE983057 RXI983056:RXI983057 RNM983056:RNM983057 RDQ983056:RDQ983057 QTU983056:QTU983057 QJY983056:QJY983057 QAC983056:QAC983057 PQG983056:PQG983057 PGK983056:PGK983057 OWO983056:OWO983057 OMS983056:OMS983057 OCW983056:OCW983057 NTA983056:NTA983057 NJE983056:NJE983057 MZI983056:MZI983057 MPM983056:MPM983057 MFQ983056:MFQ983057 LVU983056:LVU983057 LLY983056:LLY983057 LCC983056:LCC983057 KSG983056:KSG983057 KIK983056:KIK983057 JYO983056:JYO983057 JOS983056:JOS983057 JEW983056:JEW983057 IVA983056:IVA983057 ILE983056:ILE983057 IBI983056:IBI983057 HRM983056:HRM983057 HHQ983056:HHQ983057 GXU983056:GXU983057 GNY983056:GNY983057 GEC983056:GEC983057 FUG983056:FUG983057 FKK983056:FKK983057 FAO983056:FAO983057 EQS983056:EQS983057 EGW983056:EGW983057 DXA983056:DXA983057 DNE983056:DNE983057 DDI983056:DDI983057 CTM983056:CTM983057 CJQ983056:CJQ983057 BZU983056:BZU983057 BPY983056:BPY983057 BGC983056:BGC983057 AWG983056:AWG983057 AMK983056:AMK983057 ACO983056:ACO983057 SS983056:SS983057 IW983056:IW983057 A983056:A983057 WVI917520:WVI917521 WLM917520:WLM917521 WBQ917520:WBQ917521 VRU917520:VRU917521 VHY917520:VHY917521 UYC917520:UYC917521 UOG917520:UOG917521 UEK917520:UEK917521 TUO917520:TUO917521 TKS917520:TKS917521 TAW917520:TAW917521 SRA917520:SRA917521 SHE917520:SHE917521 RXI917520:RXI917521 RNM917520:RNM917521 RDQ917520:RDQ917521 QTU917520:QTU917521 QJY917520:QJY917521 QAC917520:QAC917521 PQG917520:PQG917521 PGK917520:PGK917521 OWO917520:OWO917521 OMS917520:OMS917521 OCW917520:OCW917521 NTA917520:NTA917521 NJE917520:NJE917521 MZI917520:MZI917521 MPM917520:MPM917521 MFQ917520:MFQ917521 LVU917520:LVU917521 LLY917520:LLY917521 LCC917520:LCC917521 KSG917520:KSG917521 KIK917520:KIK917521 JYO917520:JYO917521 JOS917520:JOS917521 JEW917520:JEW917521 IVA917520:IVA917521 ILE917520:ILE917521 IBI917520:IBI917521 HRM917520:HRM917521 HHQ917520:HHQ917521 GXU917520:GXU917521 GNY917520:GNY917521 GEC917520:GEC917521 FUG917520:FUG917521 FKK917520:FKK917521 FAO917520:FAO917521 EQS917520:EQS917521 EGW917520:EGW917521 DXA917520:DXA917521 DNE917520:DNE917521 DDI917520:DDI917521 CTM917520:CTM917521 CJQ917520:CJQ917521 BZU917520:BZU917521 BPY917520:BPY917521 BGC917520:BGC917521 AWG917520:AWG917521 AMK917520:AMK917521 ACO917520:ACO917521 SS917520:SS917521 IW917520:IW917521 A917520:A917521 WVI851984:WVI851985 WLM851984:WLM851985 WBQ851984:WBQ851985 VRU851984:VRU851985 VHY851984:VHY851985 UYC851984:UYC851985 UOG851984:UOG851985 UEK851984:UEK851985 TUO851984:TUO851985 TKS851984:TKS851985 TAW851984:TAW851985 SRA851984:SRA851985 SHE851984:SHE851985 RXI851984:RXI851985 RNM851984:RNM851985 RDQ851984:RDQ851985 QTU851984:QTU851985 QJY851984:QJY851985 QAC851984:QAC851985 PQG851984:PQG851985 PGK851984:PGK851985 OWO851984:OWO851985 OMS851984:OMS851985 OCW851984:OCW851985 NTA851984:NTA851985 NJE851984:NJE851985 MZI851984:MZI851985 MPM851984:MPM851985 MFQ851984:MFQ851985 LVU851984:LVU851985 LLY851984:LLY851985 LCC851984:LCC851985 KSG851984:KSG851985 KIK851984:KIK851985 JYO851984:JYO851985 JOS851984:JOS851985 JEW851984:JEW851985 IVA851984:IVA851985 ILE851984:ILE851985 IBI851984:IBI851985 HRM851984:HRM851985 HHQ851984:HHQ851985 GXU851984:GXU851985 GNY851984:GNY851985 GEC851984:GEC851985 FUG851984:FUG851985 FKK851984:FKK851985 FAO851984:FAO851985 EQS851984:EQS851985 EGW851984:EGW851985 DXA851984:DXA851985 DNE851984:DNE851985 DDI851984:DDI851985 CTM851984:CTM851985 CJQ851984:CJQ851985 BZU851984:BZU851985 BPY851984:BPY851985 BGC851984:BGC851985 AWG851984:AWG851985 AMK851984:AMK851985 ACO851984:ACO851985 SS851984:SS851985 IW851984:IW851985 A851984:A851985 WVI786448:WVI786449 WLM786448:WLM786449 WBQ786448:WBQ786449 VRU786448:VRU786449 VHY786448:VHY786449 UYC786448:UYC786449 UOG786448:UOG786449 UEK786448:UEK786449 TUO786448:TUO786449 TKS786448:TKS786449 TAW786448:TAW786449 SRA786448:SRA786449 SHE786448:SHE786449 RXI786448:RXI786449 RNM786448:RNM786449 RDQ786448:RDQ786449 QTU786448:QTU786449 QJY786448:QJY786449 QAC786448:QAC786449 PQG786448:PQG786449 PGK786448:PGK786449 OWO786448:OWO786449 OMS786448:OMS786449 OCW786448:OCW786449 NTA786448:NTA786449 NJE786448:NJE786449 MZI786448:MZI786449 MPM786448:MPM786449 MFQ786448:MFQ786449 LVU786448:LVU786449 LLY786448:LLY786449 LCC786448:LCC786449 KSG786448:KSG786449 KIK786448:KIK786449 JYO786448:JYO786449 JOS786448:JOS786449 JEW786448:JEW786449 IVA786448:IVA786449 ILE786448:ILE786449 IBI786448:IBI786449 HRM786448:HRM786449 HHQ786448:HHQ786449 GXU786448:GXU786449 GNY786448:GNY786449 GEC786448:GEC786449 FUG786448:FUG786449 FKK786448:FKK786449 FAO786448:FAO786449 EQS786448:EQS786449 EGW786448:EGW786449 DXA786448:DXA786449 DNE786448:DNE786449 DDI786448:DDI786449 CTM786448:CTM786449 CJQ786448:CJQ786449 BZU786448:BZU786449 BPY786448:BPY786449 BGC786448:BGC786449 AWG786448:AWG786449 AMK786448:AMK786449 ACO786448:ACO786449 SS786448:SS786449 IW786448:IW786449 A786448:A786449 WVI720912:WVI720913 WLM720912:WLM720913 WBQ720912:WBQ720913 VRU720912:VRU720913 VHY720912:VHY720913 UYC720912:UYC720913 UOG720912:UOG720913 UEK720912:UEK720913 TUO720912:TUO720913 TKS720912:TKS720913 TAW720912:TAW720913 SRA720912:SRA720913 SHE720912:SHE720913 RXI720912:RXI720913 RNM720912:RNM720913 RDQ720912:RDQ720913 QTU720912:QTU720913 QJY720912:QJY720913 QAC720912:QAC720913 PQG720912:PQG720913 PGK720912:PGK720913 OWO720912:OWO720913 OMS720912:OMS720913 OCW720912:OCW720913 NTA720912:NTA720913 NJE720912:NJE720913 MZI720912:MZI720913 MPM720912:MPM720913 MFQ720912:MFQ720913 LVU720912:LVU720913 LLY720912:LLY720913 LCC720912:LCC720913 KSG720912:KSG720913 KIK720912:KIK720913 JYO720912:JYO720913 JOS720912:JOS720913 JEW720912:JEW720913 IVA720912:IVA720913 ILE720912:ILE720913 IBI720912:IBI720913 HRM720912:HRM720913 HHQ720912:HHQ720913 GXU720912:GXU720913 GNY720912:GNY720913 GEC720912:GEC720913 FUG720912:FUG720913 FKK720912:FKK720913 FAO720912:FAO720913 EQS720912:EQS720913 EGW720912:EGW720913 DXA720912:DXA720913 DNE720912:DNE720913 DDI720912:DDI720913 CTM720912:CTM720913 CJQ720912:CJQ720913 BZU720912:BZU720913 BPY720912:BPY720913 BGC720912:BGC720913 AWG720912:AWG720913 AMK720912:AMK720913 ACO720912:ACO720913 SS720912:SS720913 IW720912:IW720913 A720912:A720913 WVI655376:WVI655377 WLM655376:WLM655377 WBQ655376:WBQ655377 VRU655376:VRU655377 VHY655376:VHY655377 UYC655376:UYC655377 UOG655376:UOG655377 UEK655376:UEK655377 TUO655376:TUO655377 TKS655376:TKS655377 TAW655376:TAW655377 SRA655376:SRA655377 SHE655376:SHE655377 RXI655376:RXI655377 RNM655376:RNM655377 RDQ655376:RDQ655377 QTU655376:QTU655377 QJY655376:QJY655377 QAC655376:QAC655377 PQG655376:PQG655377 PGK655376:PGK655377 OWO655376:OWO655377 OMS655376:OMS655377 OCW655376:OCW655377 NTA655376:NTA655377 NJE655376:NJE655377 MZI655376:MZI655377 MPM655376:MPM655377 MFQ655376:MFQ655377 LVU655376:LVU655377 LLY655376:LLY655377 LCC655376:LCC655377 KSG655376:KSG655377 KIK655376:KIK655377 JYO655376:JYO655377 JOS655376:JOS655377 JEW655376:JEW655377 IVA655376:IVA655377 ILE655376:ILE655377 IBI655376:IBI655377 HRM655376:HRM655377 HHQ655376:HHQ655377 GXU655376:GXU655377 GNY655376:GNY655377 GEC655376:GEC655377 FUG655376:FUG655377 FKK655376:FKK655377 FAO655376:FAO655377 EQS655376:EQS655377 EGW655376:EGW655377 DXA655376:DXA655377 DNE655376:DNE655377 DDI655376:DDI655377 CTM655376:CTM655377 CJQ655376:CJQ655377 BZU655376:BZU655377 BPY655376:BPY655377 BGC655376:BGC655377 AWG655376:AWG655377 AMK655376:AMK655377 ACO655376:ACO655377 SS655376:SS655377 IW655376:IW655377 A655376:A655377 WVI589840:WVI589841 WLM589840:WLM589841 WBQ589840:WBQ589841 VRU589840:VRU589841 VHY589840:VHY589841 UYC589840:UYC589841 UOG589840:UOG589841 UEK589840:UEK589841 TUO589840:TUO589841 TKS589840:TKS589841 TAW589840:TAW589841 SRA589840:SRA589841 SHE589840:SHE589841 RXI589840:RXI589841 RNM589840:RNM589841 RDQ589840:RDQ589841 QTU589840:QTU589841 QJY589840:QJY589841 QAC589840:QAC589841 PQG589840:PQG589841 PGK589840:PGK589841 OWO589840:OWO589841 OMS589840:OMS589841 OCW589840:OCW589841 NTA589840:NTA589841 NJE589840:NJE589841 MZI589840:MZI589841 MPM589840:MPM589841 MFQ589840:MFQ589841 LVU589840:LVU589841 LLY589840:LLY589841 LCC589840:LCC589841 KSG589840:KSG589841 KIK589840:KIK589841 JYO589840:JYO589841 JOS589840:JOS589841 JEW589840:JEW589841 IVA589840:IVA589841 ILE589840:ILE589841 IBI589840:IBI589841 HRM589840:HRM589841 HHQ589840:HHQ589841 GXU589840:GXU589841 GNY589840:GNY589841 GEC589840:GEC589841 FUG589840:FUG589841 FKK589840:FKK589841 FAO589840:FAO589841 EQS589840:EQS589841 EGW589840:EGW589841 DXA589840:DXA589841 DNE589840:DNE589841 DDI589840:DDI589841 CTM589840:CTM589841 CJQ589840:CJQ589841 BZU589840:BZU589841 BPY589840:BPY589841 BGC589840:BGC589841 AWG589840:AWG589841 AMK589840:AMK589841 ACO589840:ACO589841 SS589840:SS589841 IW589840:IW589841 A589840:A589841 WVI524304:WVI524305 WLM524304:WLM524305 WBQ524304:WBQ524305 VRU524304:VRU524305 VHY524304:VHY524305 UYC524304:UYC524305 UOG524304:UOG524305 UEK524304:UEK524305 TUO524304:TUO524305 TKS524304:TKS524305 TAW524304:TAW524305 SRA524304:SRA524305 SHE524304:SHE524305 RXI524304:RXI524305 RNM524304:RNM524305 RDQ524304:RDQ524305 QTU524304:QTU524305 QJY524304:QJY524305 QAC524304:QAC524305 PQG524304:PQG524305 PGK524304:PGK524305 OWO524304:OWO524305 OMS524304:OMS524305 OCW524304:OCW524305 NTA524304:NTA524305 NJE524304:NJE524305 MZI524304:MZI524305 MPM524304:MPM524305 MFQ524304:MFQ524305 LVU524304:LVU524305 LLY524304:LLY524305 LCC524304:LCC524305 KSG524304:KSG524305 KIK524304:KIK524305 JYO524304:JYO524305 JOS524304:JOS524305 JEW524304:JEW524305 IVA524304:IVA524305 ILE524304:ILE524305 IBI524304:IBI524305 HRM524304:HRM524305 HHQ524304:HHQ524305 GXU524304:GXU524305 GNY524304:GNY524305 GEC524304:GEC524305 FUG524304:FUG524305 FKK524304:FKK524305 FAO524304:FAO524305 EQS524304:EQS524305 EGW524304:EGW524305 DXA524304:DXA524305 DNE524304:DNE524305 DDI524304:DDI524305 CTM524304:CTM524305 CJQ524304:CJQ524305 BZU524304:BZU524305 BPY524304:BPY524305 BGC524304:BGC524305 AWG524304:AWG524305 AMK524304:AMK524305 ACO524304:ACO524305 SS524304:SS524305 IW524304:IW524305 A524304:A524305 WVI458768:WVI458769 WLM458768:WLM458769 WBQ458768:WBQ458769 VRU458768:VRU458769 VHY458768:VHY458769 UYC458768:UYC458769 UOG458768:UOG458769 UEK458768:UEK458769 TUO458768:TUO458769 TKS458768:TKS458769 TAW458768:TAW458769 SRA458768:SRA458769 SHE458768:SHE458769 RXI458768:RXI458769 RNM458768:RNM458769 RDQ458768:RDQ458769 QTU458768:QTU458769 QJY458768:QJY458769 QAC458768:QAC458769 PQG458768:PQG458769 PGK458768:PGK458769 OWO458768:OWO458769 OMS458768:OMS458769 OCW458768:OCW458769 NTA458768:NTA458769 NJE458768:NJE458769 MZI458768:MZI458769 MPM458768:MPM458769 MFQ458768:MFQ458769 LVU458768:LVU458769 LLY458768:LLY458769 LCC458768:LCC458769 KSG458768:KSG458769 KIK458768:KIK458769 JYO458768:JYO458769 JOS458768:JOS458769 JEW458768:JEW458769 IVA458768:IVA458769 ILE458768:ILE458769 IBI458768:IBI458769 HRM458768:HRM458769 HHQ458768:HHQ458769 GXU458768:GXU458769 GNY458768:GNY458769 GEC458768:GEC458769 FUG458768:FUG458769 FKK458768:FKK458769 FAO458768:FAO458769 EQS458768:EQS458769 EGW458768:EGW458769 DXA458768:DXA458769 DNE458768:DNE458769 DDI458768:DDI458769 CTM458768:CTM458769 CJQ458768:CJQ458769 BZU458768:BZU458769 BPY458768:BPY458769 BGC458768:BGC458769 AWG458768:AWG458769 AMK458768:AMK458769 ACO458768:ACO458769 SS458768:SS458769 IW458768:IW458769 A458768:A458769 WVI393232:WVI393233 WLM393232:WLM393233 WBQ393232:WBQ393233 VRU393232:VRU393233 VHY393232:VHY393233 UYC393232:UYC393233 UOG393232:UOG393233 UEK393232:UEK393233 TUO393232:TUO393233 TKS393232:TKS393233 TAW393232:TAW393233 SRA393232:SRA393233 SHE393232:SHE393233 RXI393232:RXI393233 RNM393232:RNM393233 RDQ393232:RDQ393233 QTU393232:QTU393233 QJY393232:QJY393233 QAC393232:QAC393233 PQG393232:PQG393233 PGK393232:PGK393233 OWO393232:OWO393233 OMS393232:OMS393233 OCW393232:OCW393233 NTA393232:NTA393233 NJE393232:NJE393233 MZI393232:MZI393233 MPM393232:MPM393233 MFQ393232:MFQ393233 LVU393232:LVU393233 LLY393232:LLY393233 LCC393232:LCC393233 KSG393232:KSG393233 KIK393232:KIK393233 JYO393232:JYO393233 JOS393232:JOS393233 JEW393232:JEW393233 IVA393232:IVA393233 ILE393232:ILE393233 IBI393232:IBI393233 HRM393232:HRM393233 HHQ393232:HHQ393233 GXU393232:GXU393233 GNY393232:GNY393233 GEC393232:GEC393233 FUG393232:FUG393233 FKK393232:FKK393233 FAO393232:FAO393233 EQS393232:EQS393233 EGW393232:EGW393233 DXA393232:DXA393233 DNE393232:DNE393233 DDI393232:DDI393233 CTM393232:CTM393233 CJQ393232:CJQ393233 BZU393232:BZU393233 BPY393232:BPY393233 BGC393232:BGC393233 AWG393232:AWG393233 AMK393232:AMK393233 ACO393232:ACO393233 SS393232:SS393233 IW393232:IW393233 A393232:A393233 WVI327696:WVI327697 WLM327696:WLM327697 WBQ327696:WBQ327697 VRU327696:VRU327697 VHY327696:VHY327697 UYC327696:UYC327697 UOG327696:UOG327697 UEK327696:UEK327697 TUO327696:TUO327697 TKS327696:TKS327697 TAW327696:TAW327697 SRA327696:SRA327697 SHE327696:SHE327697 RXI327696:RXI327697 RNM327696:RNM327697 RDQ327696:RDQ327697 QTU327696:QTU327697 QJY327696:QJY327697 QAC327696:QAC327697 PQG327696:PQG327697 PGK327696:PGK327697 OWO327696:OWO327697 OMS327696:OMS327697 OCW327696:OCW327697 NTA327696:NTA327697 NJE327696:NJE327697 MZI327696:MZI327697 MPM327696:MPM327697 MFQ327696:MFQ327697 LVU327696:LVU327697 LLY327696:LLY327697 LCC327696:LCC327697 KSG327696:KSG327697 KIK327696:KIK327697 JYO327696:JYO327697 JOS327696:JOS327697 JEW327696:JEW327697 IVA327696:IVA327697 ILE327696:ILE327697 IBI327696:IBI327697 HRM327696:HRM327697 HHQ327696:HHQ327697 GXU327696:GXU327697 GNY327696:GNY327697 GEC327696:GEC327697 FUG327696:FUG327697 FKK327696:FKK327697 FAO327696:FAO327697 EQS327696:EQS327697 EGW327696:EGW327697 DXA327696:DXA327697 DNE327696:DNE327697 DDI327696:DDI327697 CTM327696:CTM327697 CJQ327696:CJQ327697 BZU327696:BZU327697 BPY327696:BPY327697 BGC327696:BGC327697 AWG327696:AWG327697 AMK327696:AMK327697 ACO327696:ACO327697 SS327696:SS327697 IW327696:IW327697 A327696:A327697 WVI262160:WVI262161 WLM262160:WLM262161 WBQ262160:WBQ262161 VRU262160:VRU262161 VHY262160:VHY262161 UYC262160:UYC262161 UOG262160:UOG262161 UEK262160:UEK262161 TUO262160:TUO262161 TKS262160:TKS262161 TAW262160:TAW262161 SRA262160:SRA262161 SHE262160:SHE262161 RXI262160:RXI262161 RNM262160:RNM262161 RDQ262160:RDQ262161 QTU262160:QTU262161 QJY262160:QJY262161 QAC262160:QAC262161 PQG262160:PQG262161 PGK262160:PGK262161 OWO262160:OWO262161 OMS262160:OMS262161 OCW262160:OCW262161 NTA262160:NTA262161 NJE262160:NJE262161 MZI262160:MZI262161 MPM262160:MPM262161 MFQ262160:MFQ262161 LVU262160:LVU262161 LLY262160:LLY262161 LCC262160:LCC262161 KSG262160:KSG262161 KIK262160:KIK262161 JYO262160:JYO262161 JOS262160:JOS262161 JEW262160:JEW262161 IVA262160:IVA262161 ILE262160:ILE262161 IBI262160:IBI262161 HRM262160:HRM262161 HHQ262160:HHQ262161 GXU262160:GXU262161 GNY262160:GNY262161 GEC262160:GEC262161 FUG262160:FUG262161 FKK262160:FKK262161 FAO262160:FAO262161 EQS262160:EQS262161 EGW262160:EGW262161 DXA262160:DXA262161 DNE262160:DNE262161 DDI262160:DDI262161 CTM262160:CTM262161 CJQ262160:CJQ262161 BZU262160:BZU262161 BPY262160:BPY262161 BGC262160:BGC262161 AWG262160:AWG262161 AMK262160:AMK262161 ACO262160:ACO262161 SS262160:SS262161 IW262160:IW262161 A262160:A262161 WVI196624:WVI196625 WLM196624:WLM196625 WBQ196624:WBQ196625 VRU196624:VRU196625 VHY196624:VHY196625 UYC196624:UYC196625 UOG196624:UOG196625 UEK196624:UEK196625 TUO196624:TUO196625 TKS196624:TKS196625 TAW196624:TAW196625 SRA196624:SRA196625 SHE196624:SHE196625 RXI196624:RXI196625 RNM196624:RNM196625 RDQ196624:RDQ196625 QTU196624:QTU196625 QJY196624:QJY196625 QAC196624:QAC196625 PQG196624:PQG196625 PGK196624:PGK196625 OWO196624:OWO196625 OMS196624:OMS196625 OCW196624:OCW196625 NTA196624:NTA196625 NJE196624:NJE196625 MZI196624:MZI196625 MPM196624:MPM196625 MFQ196624:MFQ196625 LVU196624:LVU196625 LLY196624:LLY196625 LCC196624:LCC196625 KSG196624:KSG196625 KIK196624:KIK196625 JYO196624:JYO196625 JOS196624:JOS196625 JEW196624:JEW196625 IVA196624:IVA196625 ILE196624:ILE196625 IBI196624:IBI196625 HRM196624:HRM196625 HHQ196624:HHQ196625 GXU196624:GXU196625 GNY196624:GNY196625 GEC196624:GEC196625 FUG196624:FUG196625 FKK196624:FKK196625 FAO196624:FAO196625 EQS196624:EQS196625 EGW196624:EGW196625 DXA196624:DXA196625 DNE196624:DNE196625 DDI196624:DDI196625 CTM196624:CTM196625 CJQ196624:CJQ196625 BZU196624:BZU196625 BPY196624:BPY196625 BGC196624:BGC196625 AWG196624:AWG196625 AMK196624:AMK196625 ACO196624:ACO196625 SS196624:SS196625 IW196624:IW196625 A196624:A196625 WVI131088:WVI131089 WLM131088:WLM131089 WBQ131088:WBQ131089 VRU131088:VRU131089 VHY131088:VHY131089 UYC131088:UYC131089 UOG131088:UOG131089 UEK131088:UEK131089 TUO131088:TUO131089 TKS131088:TKS131089 TAW131088:TAW131089 SRA131088:SRA131089 SHE131088:SHE131089 RXI131088:RXI131089 RNM131088:RNM131089 RDQ131088:RDQ131089 QTU131088:QTU131089 QJY131088:QJY131089 QAC131088:QAC131089 PQG131088:PQG131089 PGK131088:PGK131089 OWO131088:OWO131089 OMS131088:OMS131089 OCW131088:OCW131089 NTA131088:NTA131089 NJE131088:NJE131089 MZI131088:MZI131089 MPM131088:MPM131089 MFQ131088:MFQ131089 LVU131088:LVU131089 LLY131088:LLY131089 LCC131088:LCC131089 KSG131088:KSG131089 KIK131088:KIK131089 JYO131088:JYO131089 JOS131088:JOS131089 JEW131088:JEW131089 IVA131088:IVA131089 ILE131088:ILE131089 IBI131088:IBI131089 HRM131088:HRM131089 HHQ131088:HHQ131089 GXU131088:GXU131089 GNY131088:GNY131089 GEC131088:GEC131089 FUG131088:FUG131089 FKK131088:FKK131089 FAO131088:FAO131089 EQS131088:EQS131089 EGW131088:EGW131089 DXA131088:DXA131089 DNE131088:DNE131089 DDI131088:DDI131089 CTM131088:CTM131089 CJQ131088:CJQ131089 BZU131088:BZU131089 BPY131088:BPY131089 BGC131088:BGC131089 AWG131088:AWG131089 AMK131088:AMK131089 ACO131088:ACO131089 SS131088:SS131089 IW131088:IW131089 A131088:A131089 WVI65552:WVI65553 WLM65552:WLM65553 WBQ65552:WBQ65553 VRU65552:VRU65553 VHY65552:VHY65553 UYC65552:UYC65553 UOG65552:UOG65553 UEK65552:UEK65553 TUO65552:TUO65553 TKS65552:TKS65553 TAW65552:TAW65553 SRA65552:SRA65553 SHE65552:SHE65553 RXI65552:RXI65553 RNM65552:RNM65553 RDQ65552:RDQ65553 QTU65552:QTU65553 QJY65552:QJY65553 QAC65552:QAC65553 PQG65552:PQG65553 PGK65552:PGK65553 OWO65552:OWO65553 OMS65552:OMS65553 OCW65552:OCW65553 NTA65552:NTA65553 NJE65552:NJE65553 MZI65552:MZI65553 MPM65552:MPM65553 MFQ65552:MFQ65553 LVU65552:LVU65553 LLY65552:LLY65553 LCC65552:LCC65553 KSG65552:KSG65553 KIK65552:KIK65553 JYO65552:JYO65553 JOS65552:JOS65553 JEW65552:JEW65553 IVA65552:IVA65553 ILE65552:ILE65553 IBI65552:IBI65553 HRM65552:HRM65553 HHQ65552:HHQ65553 GXU65552:GXU65553 GNY65552:GNY65553 GEC65552:GEC65553 FUG65552:FUG65553 FKK65552:FKK65553 FAO65552:FAO65553 EQS65552:EQS65553 EGW65552:EGW65553 DXA65552:DXA65553 DNE65552:DNE65553 DDI65552:DDI65553 CTM65552:CTM65553 CJQ65552:CJQ65553 BZU65552:BZU65553 BPY65552:BPY65553 BGC65552:BGC65553 AWG65552:AWG65553 AMK65552:AMK65553 ACO65552:ACO65553 SS65552:SS65553 IW65552:IW65553 A65552:A65553 WVI18:WVI19 WLM18:WLM19 WBQ18:WBQ19 VRU18:VRU19 VHY18:VHY19 UYC18:UYC19 UOG18:UOG19 UEK18:UEK19 TUO18:TUO19 TKS18:TKS19 TAW18:TAW19 SRA18:SRA19 SHE18:SHE19 RXI18:RXI19 RNM18:RNM19 RDQ18:RDQ19 QTU18:QTU19 QJY18:QJY19 QAC18:QAC19 PQG18:PQG19 PGK18:PGK19 OWO18:OWO19 OMS18:OMS19 OCW18:OCW19 NTA18:NTA19 NJE18:NJE19 MZI18:MZI19 MPM18:MPM19 MFQ18:MFQ19 LVU18:LVU19 LLY18:LLY19 LCC18:LCC19 KSG18:KSG19 KIK18:KIK19 JYO18:JYO19 JOS18:JOS19 JEW18:JEW19 IVA18:IVA19 ILE18:ILE19 IBI18:IBI19 HRM18:HRM19 HHQ18:HHQ19 GXU18:GXU19 GNY18:GNY19 GEC18:GEC19 FUG18:FUG19 FKK18:FKK19 FAO18:FAO19 EQS18:EQS19 EGW18:EGW19 DXA18:DXA19 DNE18:DNE19 DDI18:DDI19 CTM18:CTM19 CJQ18:CJQ19 BZU18:BZU19 BPY18:BPY19 BGC18:BGC19 AWG18:AWG19 AMK18:AMK19 ACO18:ACO19 SS18:SS19 B3:D19">
      <formula1>0</formula1>
    </dataValidation>
  </dataValidations>
  <pageMargins left="0.70866141732283472" right="0.70866141732283472" top="0.74803149606299213" bottom="0.74803149606299213" header="0.31496062992125984" footer="0.31496062992125984"/>
  <pageSetup paperSize="5" scale="85" orientation="landscape" horizontalDpi="150" verticalDpi="150" r:id="rId1"/>
</worksheet>
</file>

<file path=xl/worksheets/sheet2.xml><?xml version="1.0" encoding="utf-8"?>
<worksheet xmlns="http://schemas.openxmlformats.org/spreadsheetml/2006/main" xmlns:r="http://schemas.openxmlformats.org/officeDocument/2006/relationships">
  <dimension ref="A1:Y89"/>
  <sheetViews>
    <sheetView zoomScale="80" zoomScaleNormal="80" zoomScaleSheetLayoutView="100" workbookViewId="0">
      <pane ySplit="1" topLeftCell="A2" activePane="bottomLeft" state="frozen"/>
      <selection pane="bottomLeft" activeCell="B2" sqref="B2:U2"/>
    </sheetView>
  </sheetViews>
  <sheetFormatPr defaultColWidth="8.85546875" defaultRowHeight="15"/>
  <cols>
    <col min="1" max="1" width="4.7109375" style="20" customWidth="1"/>
    <col min="2" max="2" width="11.28515625" style="20" customWidth="1"/>
    <col min="3" max="3" width="7.85546875" style="20" customWidth="1"/>
    <col min="4" max="4" width="30.5703125" style="20" customWidth="1"/>
    <col min="5" max="5" width="8.7109375" style="20" customWidth="1"/>
    <col min="6" max="6" width="4.28515625" style="20" customWidth="1"/>
    <col min="7" max="9" width="10.28515625" style="20" customWidth="1"/>
    <col min="10" max="11" width="4.28515625" style="20" customWidth="1"/>
    <col min="12" max="12" width="13.28515625" style="20" customWidth="1"/>
    <col min="13" max="13" width="12.7109375" style="20" customWidth="1"/>
    <col min="14" max="14" width="15.140625" style="58" customWidth="1"/>
    <col min="15" max="19" width="11.28515625" style="58" customWidth="1"/>
    <col min="20" max="20" width="10.28515625" style="58" customWidth="1"/>
    <col min="21" max="22" width="11.28515625" style="58" customWidth="1"/>
    <col min="23" max="23" width="10.140625" style="110" customWidth="1"/>
    <col min="24" max="24" width="17.140625" style="20" customWidth="1"/>
    <col min="25" max="16384" width="8.85546875" style="20"/>
  </cols>
  <sheetData>
    <row r="1" spans="1:25" ht="126.75" customHeight="1">
      <c r="A1" s="13" t="s">
        <v>0</v>
      </c>
      <c r="B1" s="13" t="s">
        <v>1</v>
      </c>
      <c r="C1" s="14" t="s">
        <v>2</v>
      </c>
      <c r="D1" s="14" t="s">
        <v>3</v>
      </c>
      <c r="E1" s="14" t="s">
        <v>4</v>
      </c>
      <c r="F1" s="14" t="s">
        <v>5</v>
      </c>
      <c r="G1" s="118" t="s">
        <v>567</v>
      </c>
      <c r="H1" s="118" t="s">
        <v>568</v>
      </c>
      <c r="I1" s="118" t="s">
        <v>565</v>
      </c>
      <c r="J1" s="118" t="s">
        <v>566</v>
      </c>
      <c r="K1" s="119" t="s">
        <v>479</v>
      </c>
      <c r="L1" s="119" t="s">
        <v>520</v>
      </c>
      <c r="M1" s="119" t="s">
        <v>517</v>
      </c>
      <c r="N1" s="14" t="s">
        <v>183</v>
      </c>
      <c r="O1" s="14" t="s">
        <v>521</v>
      </c>
      <c r="P1" s="14" t="s">
        <v>522</v>
      </c>
      <c r="Q1" s="14" t="s">
        <v>524</v>
      </c>
      <c r="R1" s="14" t="s">
        <v>519</v>
      </c>
      <c r="S1" s="14" t="s">
        <v>523</v>
      </c>
      <c r="T1" s="14" t="s">
        <v>185</v>
      </c>
      <c r="U1" s="14" t="s">
        <v>518</v>
      </c>
      <c r="V1" s="14" t="s">
        <v>525</v>
      </c>
      <c r="W1" s="14" t="s">
        <v>186</v>
      </c>
      <c r="X1" s="14" t="s">
        <v>12</v>
      </c>
      <c r="Y1" s="15"/>
    </row>
    <row r="2" spans="1:25" ht="19.5" customHeight="1">
      <c r="A2" s="21">
        <v>8</v>
      </c>
      <c r="B2" s="383" t="s">
        <v>82</v>
      </c>
      <c r="C2" s="384"/>
      <c r="D2" s="384"/>
      <c r="E2" s="384"/>
      <c r="F2" s="384"/>
      <c r="G2" s="384"/>
      <c r="H2" s="384"/>
      <c r="I2" s="384"/>
      <c r="J2" s="384"/>
      <c r="K2" s="384"/>
      <c r="L2" s="384"/>
      <c r="M2" s="384"/>
      <c r="N2" s="384"/>
      <c r="O2" s="384"/>
      <c r="P2" s="384"/>
      <c r="Q2" s="384"/>
      <c r="R2" s="384"/>
      <c r="S2" s="384"/>
      <c r="T2" s="384"/>
      <c r="U2" s="385"/>
      <c r="V2" s="244"/>
      <c r="W2" s="64">
        <f>W3+W9+W14+W23+W20+W16</f>
        <v>1377.4398000000001</v>
      </c>
      <c r="X2" s="22"/>
      <c r="Y2" s="15" t="s">
        <v>273</v>
      </c>
    </row>
    <row r="3" spans="1:25" s="72" customFormat="1" ht="27.75" customHeight="1">
      <c r="A3" s="32"/>
      <c r="B3" s="76" t="s">
        <v>334</v>
      </c>
      <c r="C3" s="100" t="s">
        <v>83</v>
      </c>
      <c r="D3" s="31" t="s">
        <v>84</v>
      </c>
      <c r="E3" s="32"/>
      <c r="F3" s="32"/>
      <c r="G3" s="32"/>
      <c r="H3" s="32"/>
      <c r="I3" s="32"/>
      <c r="J3" s="32"/>
      <c r="K3" s="32"/>
      <c r="L3" s="32"/>
      <c r="M3" s="32"/>
      <c r="N3" s="29"/>
      <c r="O3" s="29"/>
      <c r="P3" s="29"/>
      <c r="Q3" s="29"/>
      <c r="R3" s="29"/>
      <c r="S3" s="29"/>
      <c r="T3" s="29"/>
      <c r="U3" s="29"/>
      <c r="V3" s="29"/>
      <c r="W3" s="106">
        <f>W4+W5+W6+W7+W8</f>
        <v>584.35860000000002</v>
      </c>
      <c r="X3" s="32"/>
      <c r="Y3" s="32"/>
    </row>
    <row r="4" spans="1:25" s="36" customFormat="1">
      <c r="A4" s="34"/>
      <c r="B4" s="69"/>
      <c r="C4" s="52"/>
      <c r="D4" s="93" t="s">
        <v>436</v>
      </c>
      <c r="E4" s="34"/>
      <c r="F4" s="34"/>
      <c r="G4" s="15">
        <v>215</v>
      </c>
      <c r="H4" s="15">
        <v>176</v>
      </c>
      <c r="I4" s="15">
        <f>H4*19019*12/100000</f>
        <v>401.68128000000002</v>
      </c>
      <c r="J4" s="15"/>
      <c r="K4" s="15"/>
      <c r="L4" s="15">
        <f t="shared" ref="L4:L7" si="0">G4-H4</f>
        <v>39</v>
      </c>
      <c r="M4" s="15">
        <v>0</v>
      </c>
      <c r="N4" s="242">
        <v>19019</v>
      </c>
      <c r="O4" s="242">
        <v>19019</v>
      </c>
      <c r="P4" s="242">
        <f>(O4*H4*12)/100000</f>
        <v>401.68128000000002</v>
      </c>
      <c r="Q4" s="242">
        <v>19019</v>
      </c>
      <c r="R4" s="242">
        <v>12</v>
      </c>
      <c r="S4" s="242">
        <f>Q4*L4*R4/100000</f>
        <v>89.008920000000003</v>
      </c>
      <c r="T4" s="242">
        <v>19019</v>
      </c>
      <c r="U4" s="242">
        <v>12</v>
      </c>
      <c r="V4" s="242">
        <f>T4*M4*U4/100000</f>
        <v>0</v>
      </c>
      <c r="W4" s="38">
        <f t="shared" ref="W4:W7" si="1">V4+S4+P4</f>
        <v>490.6902</v>
      </c>
      <c r="X4" s="15" t="s">
        <v>651</v>
      </c>
      <c r="Y4" s="34"/>
    </row>
    <row r="5" spans="1:25" s="36" customFormat="1" ht="105">
      <c r="A5" s="34"/>
      <c r="B5" s="69"/>
      <c r="C5" s="52"/>
      <c r="D5" s="93" t="s">
        <v>437</v>
      </c>
      <c r="E5" s="34"/>
      <c r="F5" s="34"/>
      <c r="G5" s="15">
        <v>26</v>
      </c>
      <c r="H5" s="15">
        <v>18</v>
      </c>
      <c r="I5" s="15">
        <f>H5*19019*12/100000</f>
        <v>41.081040000000002</v>
      </c>
      <c r="J5" s="15"/>
      <c r="K5" s="15"/>
      <c r="L5" s="15">
        <f t="shared" si="0"/>
        <v>8</v>
      </c>
      <c r="M5" s="15">
        <v>4</v>
      </c>
      <c r="N5" s="242">
        <v>19019</v>
      </c>
      <c r="O5" s="242">
        <v>19019</v>
      </c>
      <c r="P5" s="242">
        <f>(O5*H5*12)/100000</f>
        <v>41.081040000000002</v>
      </c>
      <c r="Q5" s="242">
        <v>19019</v>
      </c>
      <c r="R5" s="242">
        <v>12</v>
      </c>
      <c r="S5" s="242">
        <f>Q5*L5*R5/100000</f>
        <v>18.258240000000001</v>
      </c>
      <c r="T5" s="242">
        <v>19019</v>
      </c>
      <c r="U5" s="242">
        <v>12</v>
      </c>
      <c r="V5" s="242">
        <f>T5*M5*U5/100000</f>
        <v>9.1291200000000003</v>
      </c>
      <c r="W5" s="38">
        <f t="shared" si="1"/>
        <v>68.468400000000003</v>
      </c>
      <c r="X5" s="15" t="s">
        <v>690</v>
      </c>
      <c r="Y5" s="34"/>
    </row>
    <row r="6" spans="1:25" s="36" customFormat="1">
      <c r="A6" s="34"/>
      <c r="B6" s="69"/>
      <c r="C6" s="52"/>
      <c r="D6" s="93" t="s">
        <v>438</v>
      </c>
      <c r="E6" s="34"/>
      <c r="F6" s="34"/>
      <c r="G6" s="15">
        <v>5</v>
      </c>
      <c r="H6" s="15">
        <v>5</v>
      </c>
      <c r="I6" s="15">
        <f>H6*19019*12/100000</f>
        <v>11.4114</v>
      </c>
      <c r="J6" s="15"/>
      <c r="K6" s="15"/>
      <c r="L6" s="15">
        <f t="shared" si="0"/>
        <v>0</v>
      </c>
      <c r="M6" s="15">
        <v>0</v>
      </c>
      <c r="N6" s="242">
        <v>21000</v>
      </c>
      <c r="O6" s="242">
        <v>21000</v>
      </c>
      <c r="P6" s="242">
        <f>(O6*H6*12)/100000</f>
        <v>12.6</v>
      </c>
      <c r="Q6" s="242">
        <v>21000</v>
      </c>
      <c r="R6" s="242">
        <v>12</v>
      </c>
      <c r="S6" s="242">
        <f>Q6*L6*R6/100000</f>
        <v>0</v>
      </c>
      <c r="T6" s="242">
        <v>21000</v>
      </c>
      <c r="U6" s="242">
        <v>12</v>
      </c>
      <c r="V6" s="242">
        <f>T6*M6*U6/100000</f>
        <v>0</v>
      </c>
      <c r="W6" s="38">
        <f t="shared" si="1"/>
        <v>12.6</v>
      </c>
      <c r="X6" s="15" t="s">
        <v>651</v>
      </c>
      <c r="Y6" s="34"/>
    </row>
    <row r="7" spans="1:25" s="36" customFormat="1">
      <c r="A7" s="34"/>
      <c r="B7" s="69"/>
      <c r="C7" s="52"/>
      <c r="D7" s="93" t="s">
        <v>439</v>
      </c>
      <c r="E7" s="34"/>
      <c r="F7" s="34"/>
      <c r="G7" s="15">
        <v>5</v>
      </c>
      <c r="H7" s="15">
        <v>4</v>
      </c>
      <c r="I7" s="15">
        <f>H7*19019*12/100000</f>
        <v>9.1291200000000003</v>
      </c>
      <c r="J7" s="15"/>
      <c r="K7" s="15"/>
      <c r="L7" s="15">
        <f t="shared" si="0"/>
        <v>1</v>
      </c>
      <c r="M7" s="15">
        <v>0</v>
      </c>
      <c r="N7" s="242">
        <v>21000</v>
      </c>
      <c r="O7" s="242">
        <v>21000</v>
      </c>
      <c r="P7" s="242">
        <f>(O7*H7*12)/100000</f>
        <v>10.08</v>
      </c>
      <c r="Q7" s="242">
        <v>21000</v>
      </c>
      <c r="R7" s="242">
        <v>12</v>
      </c>
      <c r="S7" s="242">
        <f>Q7*L7*R7/100000</f>
        <v>2.52</v>
      </c>
      <c r="T7" s="242"/>
      <c r="U7" s="242"/>
      <c r="V7" s="242">
        <f>T7*M7*U7</f>
        <v>0</v>
      </c>
      <c r="W7" s="38">
        <f t="shared" si="1"/>
        <v>12.6</v>
      </c>
      <c r="X7" s="15" t="s">
        <v>651</v>
      </c>
      <c r="Y7" s="34"/>
    </row>
    <row r="8" spans="1:25" s="36" customFormat="1">
      <c r="A8" s="34"/>
      <c r="B8" s="69"/>
      <c r="C8" s="52"/>
      <c r="D8" s="93" t="s">
        <v>440</v>
      </c>
      <c r="E8" s="34"/>
      <c r="F8" s="34"/>
      <c r="G8" s="34"/>
      <c r="H8" s="34"/>
      <c r="I8" s="34"/>
      <c r="J8" s="34"/>
      <c r="K8" s="34"/>
      <c r="L8" s="34"/>
      <c r="M8" s="34"/>
      <c r="N8" s="243"/>
      <c r="O8" s="243"/>
      <c r="P8" s="243">
        <f t="shared" ref="P8" si="2">O8*H8*12</f>
        <v>0</v>
      </c>
      <c r="Q8" s="243"/>
      <c r="R8" s="243"/>
      <c r="S8" s="243">
        <f t="shared" ref="S8" si="3">Q8*L8*R8</f>
        <v>0</v>
      </c>
      <c r="T8" s="243"/>
      <c r="U8" s="243"/>
      <c r="V8" s="243">
        <f t="shared" ref="V8" si="4">T8*M8*U8</f>
        <v>0</v>
      </c>
      <c r="W8" s="60">
        <f t="shared" ref="W8" si="5">V8+S8+P8</f>
        <v>0</v>
      </c>
      <c r="X8" s="34"/>
      <c r="Y8" s="34"/>
    </row>
    <row r="9" spans="1:25" s="72" customFormat="1">
      <c r="A9" s="32"/>
      <c r="B9" s="101" t="s">
        <v>85</v>
      </c>
      <c r="C9" s="100" t="s">
        <v>86</v>
      </c>
      <c r="D9" s="100" t="s">
        <v>87</v>
      </c>
      <c r="E9" s="32"/>
      <c r="F9" s="32"/>
      <c r="G9" s="32"/>
      <c r="H9" s="32"/>
      <c r="I9" s="32"/>
      <c r="J9" s="32"/>
      <c r="K9" s="32"/>
      <c r="L9" s="32"/>
      <c r="M9" s="32"/>
      <c r="N9" s="29"/>
      <c r="O9" s="29"/>
      <c r="P9" s="29"/>
      <c r="Q9" s="29"/>
      <c r="R9" s="29"/>
      <c r="S9" s="29"/>
      <c r="T9" s="29"/>
      <c r="U9" s="29"/>
      <c r="V9" s="29"/>
      <c r="W9" s="106">
        <f>W11+W12+W13</f>
        <v>267.10320000000002</v>
      </c>
      <c r="X9" s="32"/>
      <c r="Y9" s="32"/>
    </row>
    <row r="10" spans="1:25" s="36" customFormat="1">
      <c r="A10" s="34"/>
      <c r="B10" s="70" t="s">
        <v>336</v>
      </c>
      <c r="C10" s="52"/>
      <c r="D10" s="52" t="s">
        <v>335</v>
      </c>
      <c r="E10" s="34"/>
      <c r="F10" s="34"/>
      <c r="G10" s="34"/>
      <c r="H10" s="34"/>
      <c r="I10" s="34"/>
      <c r="J10" s="34"/>
      <c r="K10" s="34"/>
      <c r="L10" s="34"/>
      <c r="M10" s="34"/>
      <c r="N10" s="243"/>
      <c r="O10" s="243"/>
      <c r="P10" s="243">
        <f t="shared" ref="P10" si="6">O10*H10*12</f>
        <v>0</v>
      </c>
      <c r="Q10" s="243"/>
      <c r="R10" s="243"/>
      <c r="S10" s="243">
        <f t="shared" ref="S10" si="7">Q10*L10*R10</f>
        <v>0</v>
      </c>
      <c r="T10" s="243"/>
      <c r="U10" s="243"/>
      <c r="V10" s="243">
        <f t="shared" ref="V10" si="8">T10*M10*U10</f>
        <v>0</v>
      </c>
      <c r="W10" s="60">
        <f t="shared" ref="W10" si="9">V10+S10+P10</f>
        <v>0</v>
      </c>
      <c r="X10" s="34"/>
      <c r="Y10" s="34"/>
    </row>
    <row r="11" spans="1:25" s="36" customFormat="1">
      <c r="A11" s="34"/>
      <c r="B11" s="70"/>
      <c r="C11" s="52"/>
      <c r="D11" s="83" t="s">
        <v>441</v>
      </c>
      <c r="E11" s="34"/>
      <c r="F11" s="34"/>
      <c r="G11" s="15">
        <v>13</v>
      </c>
      <c r="H11" s="15">
        <v>4</v>
      </c>
      <c r="I11" s="15">
        <v>56000</v>
      </c>
      <c r="J11" s="15"/>
      <c r="K11" s="15"/>
      <c r="L11" s="15">
        <f>G11-H11</f>
        <v>9</v>
      </c>
      <c r="M11" s="15">
        <v>0</v>
      </c>
      <c r="N11" s="242">
        <v>56000</v>
      </c>
      <c r="O11" s="242">
        <v>56000</v>
      </c>
      <c r="P11" s="242">
        <f>(O11*H11*12)/100000</f>
        <v>26.88</v>
      </c>
      <c r="Q11" s="242">
        <v>56000</v>
      </c>
      <c r="R11" s="242">
        <v>12</v>
      </c>
      <c r="S11" s="242">
        <f>Q11*L11*R11/100000</f>
        <v>60.48</v>
      </c>
      <c r="T11" s="242">
        <v>56000</v>
      </c>
      <c r="U11" s="242">
        <v>12</v>
      </c>
      <c r="V11" s="242">
        <f>T11*M11*U11</f>
        <v>0</v>
      </c>
      <c r="W11" s="38">
        <f>V11+S11+P11</f>
        <v>87.36</v>
      </c>
      <c r="X11" s="15" t="s">
        <v>651</v>
      </c>
      <c r="Y11" s="34"/>
    </row>
    <row r="12" spans="1:25" s="36" customFormat="1">
      <c r="A12" s="34"/>
      <c r="B12" s="70"/>
      <c r="C12" s="52"/>
      <c r="D12" s="83" t="s">
        <v>442</v>
      </c>
      <c r="E12" s="34"/>
      <c r="F12" s="34"/>
      <c r="G12" s="15">
        <v>26</v>
      </c>
      <c r="H12" s="15">
        <v>6</v>
      </c>
      <c r="I12" s="15">
        <v>53495</v>
      </c>
      <c r="J12" s="15"/>
      <c r="K12" s="15"/>
      <c r="L12" s="15">
        <f>G12-H12</f>
        <v>20</v>
      </c>
      <c r="M12" s="15">
        <v>0</v>
      </c>
      <c r="N12" s="242">
        <v>53495</v>
      </c>
      <c r="O12" s="242">
        <v>53495</v>
      </c>
      <c r="P12" s="242">
        <f>(O12*H12*12)/100000</f>
        <v>38.516399999999997</v>
      </c>
      <c r="Q12" s="242">
        <v>53495</v>
      </c>
      <c r="R12" s="242">
        <v>12</v>
      </c>
      <c r="S12" s="242">
        <f>Q12*L12*R12/100000</f>
        <v>128.38800000000001</v>
      </c>
      <c r="T12" s="242">
        <v>53495</v>
      </c>
      <c r="U12" s="242">
        <v>12</v>
      </c>
      <c r="V12" s="242">
        <f>T12*M12*U12/100000</f>
        <v>0</v>
      </c>
      <c r="W12" s="38">
        <f>V12+S12+P12</f>
        <v>166.90440000000001</v>
      </c>
      <c r="X12" s="15" t="s">
        <v>651</v>
      </c>
      <c r="Y12" s="34"/>
    </row>
    <row r="13" spans="1:25" s="36" customFormat="1">
      <c r="A13" s="34"/>
      <c r="B13" s="70"/>
      <c r="C13" s="52"/>
      <c r="D13" s="83" t="s">
        <v>443</v>
      </c>
      <c r="E13" s="34"/>
      <c r="F13" s="34"/>
      <c r="G13" s="15">
        <v>2</v>
      </c>
      <c r="H13" s="15">
        <v>2</v>
      </c>
      <c r="I13" s="15">
        <v>53495</v>
      </c>
      <c r="J13" s="15"/>
      <c r="K13" s="15"/>
      <c r="L13" s="15">
        <f>G13-H13</f>
        <v>0</v>
      </c>
      <c r="M13" s="15">
        <v>0</v>
      </c>
      <c r="N13" s="242">
        <v>53495</v>
      </c>
      <c r="O13" s="242">
        <v>53495</v>
      </c>
      <c r="P13" s="242">
        <f>(O13*H13*12)/100000</f>
        <v>12.838800000000001</v>
      </c>
      <c r="Q13" s="242">
        <v>53495</v>
      </c>
      <c r="R13" s="242">
        <v>12</v>
      </c>
      <c r="S13" s="242">
        <f>Q13*L13*R13/100000</f>
        <v>0</v>
      </c>
      <c r="T13" s="242">
        <v>53595</v>
      </c>
      <c r="U13" s="242">
        <v>12</v>
      </c>
      <c r="V13" s="242">
        <f>T13*M13*U13</f>
        <v>0</v>
      </c>
      <c r="W13" s="38">
        <f>V13+S13+P13</f>
        <v>12.838800000000001</v>
      </c>
      <c r="X13" s="15" t="s">
        <v>651</v>
      </c>
      <c r="Y13" s="34"/>
    </row>
    <row r="14" spans="1:25" s="72" customFormat="1" ht="22.5">
      <c r="A14" s="32"/>
      <c r="B14" s="73" t="s">
        <v>337</v>
      </c>
      <c r="C14" s="100" t="s">
        <v>88</v>
      </c>
      <c r="D14" s="100" t="s">
        <v>89</v>
      </c>
      <c r="E14" s="32"/>
      <c r="F14" s="32"/>
      <c r="G14" s="32"/>
      <c r="H14" s="32"/>
      <c r="I14" s="32"/>
      <c r="J14" s="32"/>
      <c r="K14" s="32"/>
      <c r="L14" s="32"/>
      <c r="M14" s="32"/>
      <c r="N14" s="29"/>
      <c r="O14" s="29"/>
      <c r="P14" s="29"/>
      <c r="Q14" s="29"/>
      <c r="R14" s="29"/>
      <c r="S14" s="29"/>
      <c r="T14" s="29"/>
      <c r="U14" s="29"/>
      <c r="V14" s="29"/>
      <c r="W14" s="106">
        <f>W15</f>
        <v>18.018000000000001</v>
      </c>
      <c r="X14" s="32"/>
      <c r="Y14" s="32"/>
    </row>
    <row r="15" spans="1:25" s="36" customFormat="1">
      <c r="A15" s="34"/>
      <c r="B15" s="34"/>
      <c r="C15" s="34"/>
      <c r="D15" s="34" t="s">
        <v>444</v>
      </c>
      <c r="E15" s="34"/>
      <c r="F15" s="34"/>
      <c r="G15" s="15">
        <v>13</v>
      </c>
      <c r="H15" s="15">
        <v>9</v>
      </c>
      <c r="I15" s="15">
        <v>11550</v>
      </c>
      <c r="J15" s="15"/>
      <c r="K15" s="15"/>
      <c r="L15" s="15">
        <f>G15-H15</f>
        <v>4</v>
      </c>
      <c r="M15" s="15">
        <v>0</v>
      </c>
      <c r="N15" s="242">
        <v>0</v>
      </c>
      <c r="O15" s="242">
        <v>11550</v>
      </c>
      <c r="P15" s="242">
        <f>(O15*H15*12)/100000</f>
        <v>12.474</v>
      </c>
      <c r="Q15" s="242">
        <v>11550</v>
      </c>
      <c r="R15" s="242">
        <v>12</v>
      </c>
      <c r="S15" s="242">
        <f>Q15*L15*R15/100000</f>
        <v>5.5439999999999996</v>
      </c>
      <c r="T15" s="242"/>
      <c r="U15" s="242"/>
      <c r="V15" s="242">
        <f>T15*M15*U15</f>
        <v>0</v>
      </c>
      <c r="W15" s="38">
        <f>V15+S15+P15</f>
        <v>18.018000000000001</v>
      </c>
      <c r="X15" s="15" t="s">
        <v>651</v>
      </c>
      <c r="Y15" s="34"/>
    </row>
    <row r="16" spans="1:25" s="72" customFormat="1" ht="22.5">
      <c r="A16" s="32"/>
      <c r="B16" s="101" t="s">
        <v>340</v>
      </c>
      <c r="C16" s="100" t="s">
        <v>94</v>
      </c>
      <c r="D16" s="100" t="s">
        <v>95</v>
      </c>
      <c r="E16" s="32"/>
      <c r="F16" s="32"/>
      <c r="G16" s="32"/>
      <c r="H16" s="32"/>
      <c r="I16" s="32"/>
      <c r="J16" s="32"/>
      <c r="K16" s="32"/>
      <c r="L16" s="32"/>
      <c r="M16" s="32"/>
      <c r="N16" s="29"/>
      <c r="O16" s="29"/>
      <c r="P16" s="29"/>
      <c r="Q16" s="29"/>
      <c r="R16" s="29"/>
      <c r="S16" s="29"/>
      <c r="T16" s="29"/>
      <c r="U16" s="29"/>
      <c r="V16" s="29"/>
      <c r="W16" s="74">
        <f>W17+W18+W19</f>
        <v>18.899999999999999</v>
      </c>
      <c r="X16" s="32"/>
      <c r="Y16" s="32"/>
    </row>
    <row r="17" spans="1:25">
      <c r="A17" s="15"/>
      <c r="B17" s="18"/>
      <c r="C17" s="19"/>
      <c r="D17" s="15" t="s">
        <v>287</v>
      </c>
      <c r="E17" s="15"/>
      <c r="F17" s="15"/>
      <c r="G17" s="15">
        <v>1</v>
      </c>
      <c r="H17" s="15">
        <v>1</v>
      </c>
      <c r="I17" s="15">
        <v>52500</v>
      </c>
      <c r="J17" s="15"/>
      <c r="K17" s="15"/>
      <c r="L17" s="15">
        <f>G17-H17</f>
        <v>0</v>
      </c>
      <c r="M17" s="15">
        <v>0</v>
      </c>
      <c r="N17" s="242">
        <v>0</v>
      </c>
      <c r="O17" s="15">
        <v>52500</v>
      </c>
      <c r="P17" s="242">
        <f>O17*H17*12/100000</f>
        <v>6.3</v>
      </c>
      <c r="Q17" s="242"/>
      <c r="R17" s="242"/>
      <c r="S17" s="242">
        <f>Q17*L17*R17</f>
        <v>0</v>
      </c>
      <c r="T17" s="242"/>
      <c r="U17" s="242"/>
      <c r="V17" s="242">
        <f>T17*M17*U17</f>
        <v>0</v>
      </c>
      <c r="W17" s="38">
        <f>V17+S17+P17</f>
        <v>6.3</v>
      </c>
      <c r="X17" s="15" t="s">
        <v>651</v>
      </c>
      <c r="Y17" s="15"/>
    </row>
    <row r="18" spans="1:25">
      <c r="A18" s="15"/>
      <c r="B18" s="18"/>
      <c r="C18" s="19"/>
      <c r="D18" s="15" t="s">
        <v>288</v>
      </c>
      <c r="E18" s="15"/>
      <c r="F18" s="15"/>
      <c r="G18" s="15">
        <v>1</v>
      </c>
      <c r="H18" s="15">
        <v>1</v>
      </c>
      <c r="I18" s="15">
        <v>52500</v>
      </c>
      <c r="J18" s="15"/>
      <c r="K18" s="15"/>
      <c r="L18" s="15">
        <f>G18-H18</f>
        <v>0</v>
      </c>
      <c r="M18" s="15">
        <v>0</v>
      </c>
      <c r="N18" s="242">
        <v>0</v>
      </c>
      <c r="O18" s="15">
        <v>52500</v>
      </c>
      <c r="P18" s="242">
        <f>O18*H18*12/100000</f>
        <v>6.3</v>
      </c>
      <c r="Q18" s="242"/>
      <c r="R18" s="242"/>
      <c r="S18" s="242">
        <f>Q18*L18*R18</f>
        <v>0</v>
      </c>
      <c r="T18" s="242"/>
      <c r="U18" s="242"/>
      <c r="V18" s="242">
        <f>T18*M18*U18</f>
        <v>0</v>
      </c>
      <c r="W18" s="38">
        <f>V18+S18+P18</f>
        <v>6.3</v>
      </c>
      <c r="X18" s="15" t="s">
        <v>651</v>
      </c>
      <c r="Y18" s="15"/>
    </row>
    <row r="19" spans="1:25">
      <c r="A19" s="15"/>
      <c r="B19" s="15"/>
      <c r="C19" s="15"/>
      <c r="D19" s="15" t="s">
        <v>289</v>
      </c>
      <c r="E19" s="15"/>
      <c r="F19" s="15"/>
      <c r="G19" s="15">
        <v>1</v>
      </c>
      <c r="H19" s="15">
        <v>0</v>
      </c>
      <c r="I19" s="15">
        <v>52500</v>
      </c>
      <c r="J19" s="15"/>
      <c r="K19" s="15"/>
      <c r="L19" s="15">
        <f>G19-H19</f>
        <v>1</v>
      </c>
      <c r="M19" s="15">
        <v>0</v>
      </c>
      <c r="N19" s="242">
        <v>52500</v>
      </c>
      <c r="O19" s="15">
        <v>52500</v>
      </c>
      <c r="P19" s="242">
        <f>O19*H19*12/100000</f>
        <v>0</v>
      </c>
      <c r="Q19" s="242">
        <v>52500</v>
      </c>
      <c r="R19" s="242">
        <v>12</v>
      </c>
      <c r="S19" s="242">
        <f>Q19*L19*R19/100000</f>
        <v>6.3</v>
      </c>
      <c r="T19" s="242"/>
      <c r="U19" s="242"/>
      <c r="V19" s="242">
        <f>T19*M19*U19/100000</f>
        <v>0</v>
      </c>
      <c r="W19" s="38">
        <f>V19+S19+P19</f>
        <v>6.3</v>
      </c>
      <c r="X19" s="15" t="s">
        <v>651</v>
      </c>
      <c r="Y19" s="15"/>
    </row>
    <row r="20" spans="1:25" s="72" customFormat="1">
      <c r="A20" s="32"/>
      <c r="B20" s="73" t="s">
        <v>339</v>
      </c>
      <c r="C20" s="100" t="s">
        <v>92</v>
      </c>
      <c r="D20" s="100" t="s">
        <v>93</v>
      </c>
      <c r="E20" s="32"/>
      <c r="F20" s="32"/>
      <c r="G20" s="32"/>
      <c r="H20" s="32"/>
      <c r="I20" s="32"/>
      <c r="J20" s="32"/>
      <c r="K20" s="32"/>
      <c r="L20" s="32"/>
      <c r="M20" s="32"/>
      <c r="N20" s="29"/>
      <c r="O20" s="29"/>
      <c r="P20" s="29"/>
      <c r="Q20" s="29"/>
      <c r="R20" s="29"/>
      <c r="S20" s="29"/>
      <c r="T20" s="29"/>
      <c r="U20" s="29"/>
      <c r="V20" s="29"/>
      <c r="W20" s="74">
        <f>W21+W22</f>
        <v>486.18</v>
      </c>
      <c r="X20" s="32"/>
      <c r="Y20" s="32"/>
    </row>
    <row r="21" spans="1:25" s="36" customFormat="1">
      <c r="A21" s="34"/>
      <c r="B21" s="71"/>
      <c r="C21" s="52"/>
      <c r="D21" s="81" t="s">
        <v>445</v>
      </c>
      <c r="E21" s="34"/>
      <c r="F21" s="34"/>
      <c r="G21" s="15">
        <v>162</v>
      </c>
      <c r="H21" s="15">
        <v>135</v>
      </c>
      <c r="I21" s="15">
        <v>21900</v>
      </c>
      <c r="J21" s="15"/>
      <c r="K21" s="15"/>
      <c r="L21" s="15">
        <f>G21-H21</f>
        <v>27</v>
      </c>
      <c r="M21" s="15">
        <v>0</v>
      </c>
      <c r="N21" s="242">
        <v>21900</v>
      </c>
      <c r="O21" s="242">
        <v>21900</v>
      </c>
      <c r="P21" s="242">
        <f>O21*H21*12/100000</f>
        <v>354.78</v>
      </c>
      <c r="Q21" s="242">
        <v>21900</v>
      </c>
      <c r="R21" s="242">
        <v>12</v>
      </c>
      <c r="S21" s="242">
        <f>Q21*L21*R21/100000</f>
        <v>70.956000000000003</v>
      </c>
      <c r="T21" s="242">
        <v>21900</v>
      </c>
      <c r="U21" s="242">
        <v>12</v>
      </c>
      <c r="V21" s="242">
        <f>T21*M21*U21/100000</f>
        <v>0</v>
      </c>
      <c r="W21" s="38">
        <f>V21+S21+P21</f>
        <v>425.73599999999999</v>
      </c>
      <c r="X21" s="15" t="s">
        <v>651</v>
      </c>
      <c r="Y21" s="34"/>
    </row>
    <row r="22" spans="1:25" s="36" customFormat="1">
      <c r="A22" s="34"/>
      <c r="B22" s="71"/>
      <c r="C22" s="52"/>
      <c r="D22" s="81" t="s">
        <v>446</v>
      </c>
      <c r="E22" s="34"/>
      <c r="F22" s="34"/>
      <c r="G22" s="15">
        <v>23</v>
      </c>
      <c r="H22" s="15">
        <v>18</v>
      </c>
      <c r="I22" s="15">
        <v>21900</v>
      </c>
      <c r="J22" s="15"/>
      <c r="K22" s="15"/>
      <c r="L22" s="15">
        <f>G22-H22</f>
        <v>5</v>
      </c>
      <c r="M22" s="15">
        <v>0</v>
      </c>
      <c r="N22" s="242">
        <v>21900</v>
      </c>
      <c r="O22" s="242">
        <v>21900</v>
      </c>
      <c r="P22" s="242">
        <f>O22*H22*12/100000</f>
        <v>47.304000000000002</v>
      </c>
      <c r="Q22" s="242">
        <v>21900</v>
      </c>
      <c r="R22" s="242">
        <v>12</v>
      </c>
      <c r="S22" s="242">
        <f>Q22*L22*R22/100000</f>
        <v>13.14</v>
      </c>
      <c r="T22" s="242">
        <v>21900</v>
      </c>
      <c r="U22" s="242">
        <v>12</v>
      </c>
      <c r="V22" s="242">
        <f>T22*M22*U22/100000</f>
        <v>0</v>
      </c>
      <c r="W22" s="38">
        <f>V22+S22+P22</f>
        <v>60.444000000000003</v>
      </c>
      <c r="X22" s="15" t="s">
        <v>651</v>
      </c>
      <c r="Y22" s="34"/>
    </row>
    <row r="23" spans="1:25" s="72" customFormat="1" ht="22.5">
      <c r="A23" s="32"/>
      <c r="B23" s="73" t="s">
        <v>338</v>
      </c>
      <c r="C23" s="100" t="s">
        <v>90</v>
      </c>
      <c r="D23" s="100" t="s">
        <v>91</v>
      </c>
      <c r="E23" s="32"/>
      <c r="F23" s="32"/>
      <c r="G23" s="276">
        <v>2</v>
      </c>
      <c r="H23" s="276">
        <v>2</v>
      </c>
      <c r="I23" s="276">
        <v>12000</v>
      </c>
      <c r="J23" s="276"/>
      <c r="K23" s="276"/>
      <c r="L23" s="276">
        <v>0</v>
      </c>
      <c r="M23" s="276">
        <v>0</v>
      </c>
      <c r="N23" s="277">
        <v>12000</v>
      </c>
      <c r="O23" s="277">
        <v>12000</v>
      </c>
      <c r="P23" s="277">
        <f>(O23*H23*12)/100000</f>
        <v>2.88</v>
      </c>
      <c r="Q23" s="277">
        <v>12000</v>
      </c>
      <c r="R23" s="277">
        <v>12</v>
      </c>
      <c r="S23" s="277">
        <f>Q23*L23*R23/100000</f>
        <v>0</v>
      </c>
      <c r="T23" s="277">
        <v>12000</v>
      </c>
      <c r="U23" s="277">
        <v>12</v>
      </c>
      <c r="V23" s="277">
        <f>T23*M23*U23/100000</f>
        <v>0</v>
      </c>
      <c r="W23" s="278">
        <f>V23+S23+P23</f>
        <v>2.88</v>
      </c>
      <c r="X23" s="15" t="s">
        <v>651</v>
      </c>
      <c r="Y23" s="32"/>
    </row>
    <row r="24" spans="1:25" ht="27" customHeight="1">
      <c r="A24" s="21">
        <v>16</v>
      </c>
      <c r="B24" s="383" t="s">
        <v>141</v>
      </c>
      <c r="C24" s="384"/>
      <c r="D24" s="384"/>
      <c r="E24" s="384"/>
      <c r="F24" s="384"/>
      <c r="G24" s="384"/>
      <c r="H24" s="384"/>
      <c r="I24" s="384"/>
      <c r="J24" s="384"/>
      <c r="K24" s="384"/>
      <c r="L24" s="384"/>
      <c r="M24" s="384"/>
      <c r="N24" s="384"/>
      <c r="O24" s="384"/>
      <c r="P24" s="384"/>
      <c r="Q24" s="384"/>
      <c r="R24" s="384"/>
      <c r="S24" s="384"/>
      <c r="T24" s="384"/>
      <c r="U24" s="385"/>
      <c r="V24" s="244"/>
      <c r="W24" s="64">
        <f>W25</f>
        <v>1853.4464399999999</v>
      </c>
      <c r="X24" s="22"/>
      <c r="Y24" s="15" t="s">
        <v>273</v>
      </c>
    </row>
    <row r="25" spans="1:25" customFormat="1" ht="14.45" customHeight="1">
      <c r="A25" s="77"/>
      <c r="B25" s="78">
        <v>16.399999999999999</v>
      </c>
      <c r="C25" s="78"/>
      <c r="D25" s="8" t="s">
        <v>356</v>
      </c>
      <c r="E25" s="78"/>
      <c r="F25" s="78"/>
      <c r="G25" s="78"/>
      <c r="H25" s="78"/>
      <c r="I25" s="78"/>
      <c r="J25" s="78"/>
      <c r="K25" s="78"/>
      <c r="L25" s="78"/>
      <c r="M25" s="78"/>
      <c r="N25" s="107"/>
      <c r="O25" s="107"/>
      <c r="P25" s="107"/>
      <c r="Q25" s="107"/>
      <c r="R25" s="107"/>
      <c r="S25" s="107"/>
      <c r="T25" s="107"/>
      <c r="U25" s="107"/>
      <c r="V25" s="107"/>
      <c r="W25" s="107">
        <f>W26+W30+W37+W41+W43+W45+W48+W54+W59+W61+W63+W68+W75+W77+W82+W84+W86</f>
        <v>1853.4464399999999</v>
      </c>
      <c r="X25" s="79"/>
      <c r="Y25" s="80"/>
    </row>
    <row r="26" spans="1:25" customFormat="1" ht="27" customHeight="1">
      <c r="A26" s="77"/>
      <c r="B26" s="78" t="s">
        <v>398</v>
      </c>
      <c r="C26" s="78" t="s">
        <v>92</v>
      </c>
      <c r="D26" s="8" t="s">
        <v>357</v>
      </c>
      <c r="E26" s="78" t="s">
        <v>358</v>
      </c>
      <c r="F26" s="78"/>
      <c r="G26" s="78"/>
      <c r="H26" s="78"/>
      <c r="I26" s="78"/>
      <c r="J26" s="78"/>
      <c r="K26" s="78"/>
      <c r="L26" s="78"/>
      <c r="M26" s="78"/>
      <c r="N26" s="107"/>
      <c r="O26" s="107"/>
      <c r="P26" s="107"/>
      <c r="Q26" s="107"/>
      <c r="R26" s="107"/>
      <c r="S26" s="107"/>
      <c r="T26" s="107"/>
      <c r="U26" s="107"/>
      <c r="V26" s="107"/>
      <c r="W26" s="107">
        <f>W27+W28+W29</f>
        <v>14.58792</v>
      </c>
      <c r="X26" s="79"/>
      <c r="Y26" s="80"/>
    </row>
    <row r="27" spans="1:25" customFormat="1" ht="27" customHeight="1">
      <c r="A27" s="77"/>
      <c r="B27" s="81"/>
      <c r="C27" s="81"/>
      <c r="D27" s="83" t="s">
        <v>359</v>
      </c>
      <c r="E27" s="81"/>
      <c r="F27" s="81"/>
      <c r="G27" s="80">
        <v>1</v>
      </c>
      <c r="H27" s="80">
        <v>1</v>
      </c>
      <c r="I27" s="80">
        <v>55566</v>
      </c>
      <c r="J27" s="80"/>
      <c r="K27" s="80"/>
      <c r="L27" s="15">
        <f>G27-H27</f>
        <v>0</v>
      </c>
      <c r="M27" s="80">
        <v>0</v>
      </c>
      <c r="N27" s="279">
        <v>0</v>
      </c>
      <c r="O27" s="279">
        <v>55566</v>
      </c>
      <c r="P27" s="242">
        <f>O27*H27*12/100000</f>
        <v>6.6679199999999996</v>
      </c>
      <c r="Q27" s="242"/>
      <c r="R27" s="242"/>
      <c r="S27" s="242">
        <f>Q27*L27*R27</f>
        <v>0</v>
      </c>
      <c r="T27" s="242"/>
      <c r="U27" s="242"/>
      <c r="V27" s="242">
        <f>T27*M27*U27</f>
        <v>0</v>
      </c>
      <c r="W27" s="38">
        <f>V27+S27+P27</f>
        <v>6.6679199999999996</v>
      </c>
      <c r="X27" s="15" t="s">
        <v>651</v>
      </c>
      <c r="Y27" s="80"/>
    </row>
    <row r="28" spans="1:25" customFormat="1" ht="27" customHeight="1">
      <c r="A28" s="77"/>
      <c r="B28" s="81"/>
      <c r="C28" s="81"/>
      <c r="D28" s="83" t="s">
        <v>360</v>
      </c>
      <c r="E28" s="81"/>
      <c r="F28" s="81"/>
      <c r="G28" s="80">
        <v>1</v>
      </c>
      <c r="H28" s="80">
        <v>1</v>
      </c>
      <c r="I28" s="80">
        <v>66000</v>
      </c>
      <c r="J28" s="80"/>
      <c r="K28" s="80"/>
      <c r="L28" s="15">
        <f>G28-H28</f>
        <v>0</v>
      </c>
      <c r="M28" s="80">
        <v>0</v>
      </c>
      <c r="N28" s="279">
        <v>0</v>
      </c>
      <c r="O28" s="279">
        <v>66000</v>
      </c>
      <c r="P28" s="242">
        <f>O28*H28*12/100000</f>
        <v>7.92</v>
      </c>
      <c r="Q28" s="242"/>
      <c r="R28" s="242"/>
      <c r="S28" s="242">
        <f>Q28*L28*R28</f>
        <v>0</v>
      </c>
      <c r="T28" s="242"/>
      <c r="U28" s="242"/>
      <c r="V28" s="242">
        <f>T28*M28*U28</f>
        <v>0</v>
      </c>
      <c r="W28" s="38">
        <f>V28+S28+P28</f>
        <v>7.92</v>
      </c>
      <c r="X28" s="15" t="s">
        <v>651</v>
      </c>
      <c r="Y28" s="80"/>
    </row>
    <row r="29" spans="1:25" customFormat="1" ht="27" customHeight="1">
      <c r="A29" s="77"/>
      <c r="B29" s="81"/>
      <c r="C29" s="81"/>
      <c r="D29" s="83" t="s">
        <v>170</v>
      </c>
      <c r="E29" s="81"/>
      <c r="F29" s="81"/>
      <c r="G29" s="81"/>
      <c r="H29" s="81"/>
      <c r="I29" s="81"/>
      <c r="J29" s="81"/>
      <c r="K29" s="81"/>
      <c r="L29" s="81"/>
      <c r="M29" s="81"/>
      <c r="N29" s="108"/>
      <c r="O29" s="108"/>
      <c r="P29" s="243">
        <f t="shared" ref="P29" si="10">O29*H29*12</f>
        <v>0</v>
      </c>
      <c r="Q29" s="243"/>
      <c r="R29" s="243"/>
      <c r="S29" s="243">
        <f t="shared" ref="S29" si="11">Q29*L29*R29</f>
        <v>0</v>
      </c>
      <c r="T29" s="243"/>
      <c r="U29" s="243"/>
      <c r="V29" s="243">
        <f t="shared" ref="V29" si="12">T29*M29*U29</f>
        <v>0</v>
      </c>
      <c r="W29" s="60">
        <f t="shared" ref="W29" si="13">V29+S29+P29</f>
        <v>0</v>
      </c>
      <c r="X29" s="82"/>
      <c r="Y29" s="80"/>
    </row>
    <row r="30" spans="1:25" customFormat="1" ht="27" customHeight="1">
      <c r="A30" s="77"/>
      <c r="B30" s="78" t="s">
        <v>399</v>
      </c>
      <c r="C30" s="78"/>
      <c r="D30" s="8" t="s">
        <v>363</v>
      </c>
      <c r="E30" s="78"/>
      <c r="F30" s="78"/>
      <c r="G30" s="78"/>
      <c r="H30" s="78"/>
      <c r="I30" s="78"/>
      <c r="J30" s="78"/>
      <c r="K30" s="78"/>
      <c r="L30" s="78"/>
      <c r="M30" s="78"/>
      <c r="N30" s="107"/>
      <c r="O30" s="107"/>
      <c r="P30" s="107"/>
      <c r="Q30" s="107"/>
      <c r="R30" s="107"/>
      <c r="S30" s="107"/>
      <c r="T30" s="107"/>
      <c r="U30" s="107"/>
      <c r="V30" s="107"/>
      <c r="W30" s="107">
        <f>W31+W32+W33+W34+W35+W36</f>
        <v>30.379919999999998</v>
      </c>
      <c r="X30" s="79"/>
      <c r="Y30" s="80"/>
    </row>
    <row r="31" spans="1:25" customFormat="1" ht="27" customHeight="1">
      <c r="A31" s="77"/>
      <c r="B31" s="81"/>
      <c r="C31" s="81"/>
      <c r="D31" s="83" t="s">
        <v>364</v>
      </c>
      <c r="E31" s="81"/>
      <c r="F31" s="81"/>
      <c r="G31" s="80">
        <v>1</v>
      </c>
      <c r="H31" s="80">
        <v>1</v>
      </c>
      <c r="I31" s="80">
        <v>55125</v>
      </c>
      <c r="J31" s="80"/>
      <c r="K31" s="80"/>
      <c r="L31" s="15">
        <f>G31-H31</f>
        <v>0</v>
      </c>
      <c r="M31" s="80">
        <v>0</v>
      </c>
      <c r="N31" s="279">
        <v>0</v>
      </c>
      <c r="O31" s="279">
        <v>55125</v>
      </c>
      <c r="P31" s="242">
        <f>O31*H31*12/100000</f>
        <v>6.6150000000000002</v>
      </c>
      <c r="Q31" s="242"/>
      <c r="R31" s="242"/>
      <c r="S31" s="242">
        <f t="shared" ref="S31:S35" si="14">Q31*L31*R31</f>
        <v>0</v>
      </c>
      <c r="T31" s="242"/>
      <c r="U31" s="242"/>
      <c r="V31" s="242">
        <f t="shared" ref="V31:V35" si="15">T31*M31*U31</f>
        <v>0</v>
      </c>
      <c r="W31" s="38">
        <f t="shared" ref="W31:W35" si="16">V31+S31+P31</f>
        <v>6.6150000000000002</v>
      </c>
      <c r="X31" s="15" t="s">
        <v>651</v>
      </c>
      <c r="Y31" s="80"/>
    </row>
    <row r="32" spans="1:25" customFormat="1" ht="27" customHeight="1">
      <c r="A32" s="77"/>
      <c r="B32" s="81"/>
      <c r="C32" s="81"/>
      <c r="D32" s="83" t="s">
        <v>365</v>
      </c>
      <c r="E32" s="81"/>
      <c r="F32" s="81"/>
      <c r="G32" s="80">
        <v>1</v>
      </c>
      <c r="H32" s="80">
        <v>1</v>
      </c>
      <c r="I32" s="80">
        <v>55125</v>
      </c>
      <c r="J32" s="80"/>
      <c r="K32" s="80"/>
      <c r="L32" s="15">
        <f>G32-H32</f>
        <v>0</v>
      </c>
      <c r="M32" s="80">
        <v>0</v>
      </c>
      <c r="N32" s="279">
        <v>0</v>
      </c>
      <c r="O32" s="279">
        <v>55125</v>
      </c>
      <c r="P32" s="242">
        <f>O32*H32*12/100000</f>
        <v>6.6150000000000002</v>
      </c>
      <c r="Q32" s="242"/>
      <c r="R32" s="242"/>
      <c r="S32" s="242">
        <f t="shared" si="14"/>
        <v>0</v>
      </c>
      <c r="T32" s="242"/>
      <c r="U32" s="242"/>
      <c r="V32" s="242">
        <f t="shared" si="15"/>
        <v>0</v>
      </c>
      <c r="W32" s="38">
        <f t="shared" si="16"/>
        <v>6.6150000000000002</v>
      </c>
      <c r="X32" s="15" t="s">
        <v>651</v>
      </c>
      <c r="Y32" s="80"/>
    </row>
    <row r="33" spans="1:25" customFormat="1" ht="27" customHeight="1">
      <c r="A33" s="77"/>
      <c r="B33" s="81"/>
      <c r="C33" s="81"/>
      <c r="D33" s="83" t="s">
        <v>366</v>
      </c>
      <c r="E33" s="81"/>
      <c r="F33" s="81"/>
      <c r="G33" s="80">
        <v>1</v>
      </c>
      <c r="H33" s="80">
        <v>1</v>
      </c>
      <c r="I33" s="80">
        <v>55125</v>
      </c>
      <c r="J33" s="80"/>
      <c r="K33" s="80"/>
      <c r="L33" s="15">
        <f>G33-H33</f>
        <v>0</v>
      </c>
      <c r="M33" s="80">
        <v>0</v>
      </c>
      <c r="N33" s="279">
        <v>0</v>
      </c>
      <c r="O33" s="279">
        <v>55125</v>
      </c>
      <c r="P33" s="242">
        <f>O33*H33*12/100000</f>
        <v>6.6150000000000002</v>
      </c>
      <c r="Q33" s="242"/>
      <c r="R33" s="242"/>
      <c r="S33" s="242">
        <f t="shared" si="14"/>
        <v>0</v>
      </c>
      <c r="T33" s="242"/>
      <c r="U33" s="242"/>
      <c r="V33" s="242">
        <f t="shared" si="15"/>
        <v>0</v>
      </c>
      <c r="W33" s="38">
        <f t="shared" si="16"/>
        <v>6.6150000000000002</v>
      </c>
      <c r="X33" s="15" t="s">
        <v>651</v>
      </c>
      <c r="Y33" s="80"/>
    </row>
    <row r="34" spans="1:25" customFormat="1" ht="27" customHeight="1">
      <c r="A34" s="77"/>
      <c r="B34" s="81"/>
      <c r="C34" s="81"/>
      <c r="D34" s="83" t="s">
        <v>361</v>
      </c>
      <c r="E34" s="81"/>
      <c r="F34" s="81"/>
      <c r="G34" s="80">
        <v>1</v>
      </c>
      <c r="H34" s="80">
        <v>1</v>
      </c>
      <c r="I34" s="80">
        <v>42791</v>
      </c>
      <c r="J34" s="80"/>
      <c r="K34" s="80"/>
      <c r="L34" s="15">
        <f>G34-H34</f>
        <v>0</v>
      </c>
      <c r="M34" s="80">
        <v>0</v>
      </c>
      <c r="N34" s="279">
        <v>0</v>
      </c>
      <c r="O34" s="279">
        <v>42791</v>
      </c>
      <c r="P34" s="242">
        <f>O34*H34*12/100000</f>
        <v>5.1349200000000002</v>
      </c>
      <c r="Q34" s="242"/>
      <c r="R34" s="242"/>
      <c r="S34" s="242">
        <f t="shared" si="14"/>
        <v>0</v>
      </c>
      <c r="T34" s="242"/>
      <c r="U34" s="242"/>
      <c r="V34" s="242">
        <f t="shared" si="15"/>
        <v>0</v>
      </c>
      <c r="W34" s="38">
        <f t="shared" si="16"/>
        <v>5.1349200000000002</v>
      </c>
      <c r="X34" s="15" t="s">
        <v>651</v>
      </c>
      <c r="Y34" s="80"/>
    </row>
    <row r="35" spans="1:25" customFormat="1" ht="27" customHeight="1">
      <c r="A35" s="77"/>
      <c r="B35" s="81"/>
      <c r="C35" s="81"/>
      <c r="D35" s="83" t="s">
        <v>362</v>
      </c>
      <c r="E35" s="81"/>
      <c r="F35" s="81"/>
      <c r="G35" s="80">
        <v>1</v>
      </c>
      <c r="H35" s="80">
        <v>1</v>
      </c>
      <c r="I35" s="80">
        <v>45000</v>
      </c>
      <c r="J35" s="80"/>
      <c r="K35" s="80"/>
      <c r="L35" s="15">
        <f>G35-H35</f>
        <v>0</v>
      </c>
      <c r="M35" s="80">
        <v>0</v>
      </c>
      <c r="N35" s="279">
        <v>0</v>
      </c>
      <c r="O35" s="279">
        <v>45000</v>
      </c>
      <c r="P35" s="242">
        <f>O35*H35*12/100000</f>
        <v>5.4</v>
      </c>
      <c r="Q35" s="242"/>
      <c r="R35" s="242"/>
      <c r="S35" s="242">
        <f t="shared" si="14"/>
        <v>0</v>
      </c>
      <c r="T35" s="242"/>
      <c r="U35" s="242"/>
      <c r="V35" s="242">
        <f t="shared" si="15"/>
        <v>0</v>
      </c>
      <c r="W35" s="38">
        <f t="shared" si="16"/>
        <v>5.4</v>
      </c>
      <c r="X35" s="15" t="s">
        <v>651</v>
      </c>
      <c r="Y35" s="80"/>
    </row>
    <row r="36" spans="1:25" customFormat="1" ht="27" customHeight="1">
      <c r="A36" s="77"/>
      <c r="B36" s="81"/>
      <c r="C36" s="81"/>
      <c r="D36" s="83" t="s">
        <v>170</v>
      </c>
      <c r="E36" s="81"/>
      <c r="F36" s="81"/>
      <c r="G36" s="81"/>
      <c r="H36" s="81"/>
      <c r="I36" s="81"/>
      <c r="J36" s="81"/>
      <c r="K36" s="81"/>
      <c r="L36" s="81"/>
      <c r="M36" s="81"/>
      <c r="N36" s="108"/>
      <c r="O36" s="108"/>
      <c r="P36" s="243">
        <f t="shared" ref="P36" si="17">O36*H36*12</f>
        <v>0</v>
      </c>
      <c r="Q36" s="243"/>
      <c r="R36" s="243"/>
      <c r="S36" s="243">
        <f t="shared" ref="S36" si="18">Q36*L36*R36</f>
        <v>0</v>
      </c>
      <c r="T36" s="243"/>
      <c r="U36" s="243"/>
      <c r="V36" s="243">
        <f t="shared" ref="V36" si="19">T36*M36*U36</f>
        <v>0</v>
      </c>
      <c r="W36" s="60">
        <f t="shared" ref="W36" si="20">V36+S36+P36</f>
        <v>0</v>
      </c>
      <c r="X36" s="82"/>
      <c r="Y36" s="80"/>
    </row>
    <row r="37" spans="1:25" customFormat="1" ht="27" customHeight="1">
      <c r="A37" s="77"/>
      <c r="B37" s="78" t="s">
        <v>400</v>
      </c>
      <c r="C37" s="78" t="s">
        <v>367</v>
      </c>
      <c r="D37" s="8" t="s">
        <v>368</v>
      </c>
      <c r="E37" s="78"/>
      <c r="F37" s="78"/>
      <c r="G37" s="78"/>
      <c r="H37" s="78"/>
      <c r="I37" s="78"/>
      <c r="J37" s="78"/>
      <c r="K37" s="78"/>
      <c r="L37" s="78"/>
      <c r="M37" s="78"/>
      <c r="N37" s="107"/>
      <c r="O37" s="107"/>
      <c r="P37" s="107"/>
      <c r="Q37" s="107"/>
      <c r="R37" s="107"/>
      <c r="S37" s="107"/>
      <c r="T37" s="107"/>
      <c r="U37" s="107"/>
      <c r="V37" s="107"/>
      <c r="W37" s="107">
        <f>W38+W39+W40</f>
        <v>61.89</v>
      </c>
      <c r="X37" s="79"/>
      <c r="Y37" s="80"/>
    </row>
    <row r="38" spans="1:25" customFormat="1" ht="27" customHeight="1">
      <c r="A38" s="77"/>
      <c r="B38" s="85"/>
      <c r="C38" s="86"/>
      <c r="D38" s="83" t="s">
        <v>369</v>
      </c>
      <c r="E38" s="81"/>
      <c r="F38" s="81"/>
      <c r="G38" s="80">
        <v>1</v>
      </c>
      <c r="H38" s="80">
        <v>1</v>
      </c>
      <c r="I38" s="80">
        <v>57500</v>
      </c>
      <c r="J38" s="80"/>
      <c r="K38" s="80"/>
      <c r="L38" s="15">
        <f>G38-H38</f>
        <v>0</v>
      </c>
      <c r="M38" s="80">
        <v>0</v>
      </c>
      <c r="N38" s="279">
        <v>0</v>
      </c>
      <c r="O38" s="279">
        <v>57500</v>
      </c>
      <c r="P38" s="242">
        <f>O38*H38*12/100000</f>
        <v>6.9</v>
      </c>
      <c r="Q38" s="242"/>
      <c r="R38" s="242"/>
      <c r="S38" s="242">
        <f>Q38*L38*R38</f>
        <v>0</v>
      </c>
      <c r="T38" s="242"/>
      <c r="U38" s="242"/>
      <c r="V38" s="242">
        <f>T38*M38*U38</f>
        <v>0</v>
      </c>
      <c r="W38" s="38">
        <f>V38+S38+P38</f>
        <v>6.9</v>
      </c>
      <c r="X38" s="15" t="s">
        <v>651</v>
      </c>
      <c r="Y38" s="80"/>
    </row>
    <row r="39" spans="1:25" customFormat="1" ht="27" customHeight="1">
      <c r="A39" s="77"/>
      <c r="B39" s="85"/>
      <c r="C39" s="86"/>
      <c r="D39" s="83" t="s">
        <v>370</v>
      </c>
      <c r="E39" s="81"/>
      <c r="F39" s="81"/>
      <c r="G39" s="80">
        <v>13</v>
      </c>
      <c r="H39" s="80">
        <v>11</v>
      </c>
      <c r="I39" s="80">
        <v>35250</v>
      </c>
      <c r="J39" s="80"/>
      <c r="K39" s="80"/>
      <c r="L39" s="15">
        <f>G39-H39</f>
        <v>2</v>
      </c>
      <c r="M39" s="80">
        <v>0</v>
      </c>
      <c r="N39" s="279">
        <v>0</v>
      </c>
      <c r="O39" s="279">
        <v>35250</v>
      </c>
      <c r="P39" s="242">
        <f>O39*H39*12/100000</f>
        <v>46.53</v>
      </c>
      <c r="Q39" s="80">
        <v>35250</v>
      </c>
      <c r="R39" s="242">
        <v>12</v>
      </c>
      <c r="S39" s="242">
        <f>Q39*L39*R39/100000</f>
        <v>8.4600000000000009</v>
      </c>
      <c r="T39" s="242"/>
      <c r="U39" s="242"/>
      <c r="V39" s="242">
        <f>T39*M39*U39</f>
        <v>0</v>
      </c>
      <c r="W39" s="38">
        <f>V39+S39+P39</f>
        <v>54.99</v>
      </c>
      <c r="X39" s="15" t="s">
        <v>651</v>
      </c>
      <c r="Y39" s="80"/>
    </row>
    <row r="40" spans="1:25" customFormat="1" ht="27" customHeight="1">
      <c r="A40" s="77"/>
      <c r="B40" s="81"/>
      <c r="C40" s="81"/>
      <c r="D40" s="83" t="s">
        <v>170</v>
      </c>
      <c r="E40" s="81"/>
      <c r="F40" s="81"/>
      <c r="G40" s="81"/>
      <c r="H40" s="81"/>
      <c r="I40" s="81"/>
      <c r="J40" s="81"/>
      <c r="K40" s="81"/>
      <c r="L40" s="81"/>
      <c r="M40" s="81"/>
      <c r="N40" s="108"/>
      <c r="O40" s="108"/>
      <c r="P40" s="243">
        <f t="shared" ref="P40" si="21">O40*H40*12</f>
        <v>0</v>
      </c>
      <c r="Q40" s="243"/>
      <c r="R40" s="243"/>
      <c r="S40" s="243">
        <f t="shared" ref="S40" si="22">Q40*L40*R40</f>
        <v>0</v>
      </c>
      <c r="T40" s="243"/>
      <c r="U40" s="243"/>
      <c r="V40" s="243">
        <f t="shared" ref="V40" si="23">T40*M40*U40</f>
        <v>0</v>
      </c>
      <c r="W40" s="60">
        <f t="shared" ref="W40" si="24">V40+S40+P40</f>
        <v>0</v>
      </c>
      <c r="X40" s="82"/>
      <c r="Y40" s="80"/>
    </row>
    <row r="41" spans="1:25" customFormat="1" ht="27" customHeight="1">
      <c r="A41" s="77"/>
      <c r="B41" s="78" t="s">
        <v>401</v>
      </c>
      <c r="C41" s="78" t="s">
        <v>92</v>
      </c>
      <c r="D41" s="8" t="s">
        <v>371</v>
      </c>
      <c r="E41" s="78"/>
      <c r="F41" s="78"/>
      <c r="G41" s="78"/>
      <c r="H41" s="78"/>
      <c r="I41" s="78"/>
      <c r="J41" s="78"/>
      <c r="K41" s="78"/>
      <c r="L41" s="78"/>
      <c r="M41" s="78"/>
      <c r="N41" s="107"/>
      <c r="O41" s="107"/>
      <c r="P41" s="107"/>
      <c r="Q41" s="107"/>
      <c r="R41" s="107"/>
      <c r="S41" s="107"/>
      <c r="T41" s="107"/>
      <c r="U41" s="107"/>
      <c r="V41" s="107"/>
      <c r="W41" s="107">
        <f>W42</f>
        <v>0</v>
      </c>
      <c r="X41" s="79"/>
      <c r="Y41" s="80"/>
    </row>
    <row r="42" spans="1:25" customFormat="1" ht="27" customHeight="1">
      <c r="A42" s="77"/>
      <c r="B42" s="81"/>
      <c r="C42" s="81"/>
      <c r="D42" s="83" t="s">
        <v>372</v>
      </c>
      <c r="E42" s="81"/>
      <c r="F42" s="81"/>
      <c r="G42" s="81"/>
      <c r="H42" s="81"/>
      <c r="I42" s="81"/>
      <c r="J42" s="81"/>
      <c r="K42" s="81"/>
      <c r="L42" s="81"/>
      <c r="M42" s="81"/>
      <c r="N42" s="108"/>
      <c r="O42" s="108"/>
      <c r="P42" s="243">
        <f t="shared" ref="P42" si="25">O42*H42*12</f>
        <v>0</v>
      </c>
      <c r="Q42" s="243"/>
      <c r="R42" s="243"/>
      <c r="S42" s="243">
        <f t="shared" ref="S42" si="26">Q42*L42*R42</f>
        <v>0</v>
      </c>
      <c r="T42" s="243"/>
      <c r="U42" s="243"/>
      <c r="V42" s="243">
        <f t="shared" ref="V42" si="27">T42*M42*U42</f>
        <v>0</v>
      </c>
      <c r="W42" s="60">
        <f t="shared" ref="W42" si="28">V42+S42+P42</f>
        <v>0</v>
      </c>
      <c r="X42" s="82"/>
      <c r="Y42" s="80"/>
    </row>
    <row r="43" spans="1:25" customFormat="1" ht="27" customHeight="1">
      <c r="A43" s="77"/>
      <c r="B43" s="78" t="s">
        <v>402</v>
      </c>
      <c r="C43" s="78" t="s">
        <v>373</v>
      </c>
      <c r="D43" s="8" t="s">
        <v>374</v>
      </c>
      <c r="E43" s="78"/>
      <c r="F43" s="78"/>
      <c r="G43" s="78"/>
      <c r="H43" s="78"/>
      <c r="I43" s="78"/>
      <c r="J43" s="78"/>
      <c r="K43" s="78"/>
      <c r="L43" s="78"/>
      <c r="M43" s="78"/>
      <c r="N43" s="107"/>
      <c r="O43" s="107"/>
      <c r="P43" s="107"/>
      <c r="Q43" s="107"/>
      <c r="R43" s="107"/>
      <c r="S43" s="107"/>
      <c r="T43" s="107"/>
      <c r="U43" s="107"/>
      <c r="V43" s="107"/>
      <c r="W43" s="107">
        <f>W44</f>
        <v>6.8517599999999996</v>
      </c>
      <c r="X43" s="79"/>
      <c r="Y43" s="80"/>
    </row>
    <row r="44" spans="1:25" customFormat="1" ht="27" customHeight="1">
      <c r="A44" s="77"/>
      <c r="B44" s="81"/>
      <c r="C44" s="81"/>
      <c r="D44" s="83" t="s">
        <v>375</v>
      </c>
      <c r="E44" s="81"/>
      <c r="F44" s="81"/>
      <c r="G44" s="80">
        <v>1</v>
      </c>
      <c r="H44" s="80">
        <v>1</v>
      </c>
      <c r="I44" s="80">
        <v>57098</v>
      </c>
      <c r="J44" s="80"/>
      <c r="K44" s="80"/>
      <c r="L44" s="15">
        <f>G44-H44</f>
        <v>0</v>
      </c>
      <c r="M44" s="80">
        <v>0</v>
      </c>
      <c r="N44" s="279">
        <v>0</v>
      </c>
      <c r="O44" s="279">
        <v>57098</v>
      </c>
      <c r="P44" s="242">
        <f>O44*H44*12/100000</f>
        <v>6.8517599999999996</v>
      </c>
      <c r="Q44" s="242"/>
      <c r="R44" s="242"/>
      <c r="S44" s="242">
        <f>Q44*L44*R44</f>
        <v>0</v>
      </c>
      <c r="T44" s="242"/>
      <c r="U44" s="242"/>
      <c r="V44" s="242">
        <f>T44*M44*U44</f>
        <v>0</v>
      </c>
      <c r="W44" s="38">
        <f>V44+S44+P44</f>
        <v>6.8517599999999996</v>
      </c>
      <c r="X44" s="15" t="s">
        <v>651</v>
      </c>
      <c r="Y44" s="80"/>
    </row>
    <row r="45" spans="1:25" customFormat="1" ht="27" customHeight="1">
      <c r="A45" s="77"/>
      <c r="B45" s="78" t="s">
        <v>403</v>
      </c>
      <c r="C45" s="78" t="s">
        <v>376</v>
      </c>
      <c r="D45" s="8" t="s">
        <v>377</v>
      </c>
      <c r="E45" s="78"/>
      <c r="F45" s="78"/>
      <c r="G45" s="78"/>
      <c r="H45" s="78"/>
      <c r="I45" s="78"/>
      <c r="J45" s="78"/>
      <c r="K45" s="78"/>
      <c r="L45" s="78"/>
      <c r="M45" s="78"/>
      <c r="N45" s="107"/>
      <c r="O45" s="107"/>
      <c r="P45" s="107"/>
      <c r="Q45" s="107"/>
      <c r="R45" s="107"/>
      <c r="S45" s="107"/>
      <c r="T45" s="107"/>
      <c r="U45" s="107"/>
      <c r="V45" s="107"/>
      <c r="W45" s="107">
        <f>W46+W47</f>
        <v>2.0420400000000001</v>
      </c>
      <c r="X45" s="79"/>
      <c r="Y45" s="80"/>
    </row>
    <row r="46" spans="1:25" customFormat="1" ht="27" customHeight="1">
      <c r="A46" s="77"/>
      <c r="B46" s="81"/>
      <c r="C46" s="81"/>
      <c r="D46" s="92" t="s">
        <v>378</v>
      </c>
      <c r="E46" s="81"/>
      <c r="F46" s="81"/>
      <c r="G46" s="80">
        <v>1</v>
      </c>
      <c r="H46" s="80">
        <v>1</v>
      </c>
      <c r="I46" s="80">
        <v>17017</v>
      </c>
      <c r="J46" s="80"/>
      <c r="K46" s="80"/>
      <c r="L46" s="15">
        <f>G46-H46</f>
        <v>0</v>
      </c>
      <c r="M46" s="80">
        <v>0</v>
      </c>
      <c r="N46" s="279">
        <v>0</v>
      </c>
      <c r="O46" s="279">
        <v>17017</v>
      </c>
      <c r="P46" s="242">
        <f>O46*H46*12/100000</f>
        <v>2.0420400000000001</v>
      </c>
      <c r="Q46" s="242"/>
      <c r="R46" s="242"/>
      <c r="S46" s="242">
        <f>Q46*L46*R46</f>
        <v>0</v>
      </c>
      <c r="T46" s="242"/>
      <c r="U46" s="242"/>
      <c r="V46" s="242">
        <f>T46*M46*U46</f>
        <v>0</v>
      </c>
      <c r="W46" s="38">
        <f>V46+S46+P46</f>
        <v>2.0420400000000001</v>
      </c>
      <c r="X46" s="15" t="s">
        <v>651</v>
      </c>
      <c r="Y46" s="80"/>
    </row>
    <row r="47" spans="1:25" customFormat="1" ht="27" customHeight="1">
      <c r="A47" s="77"/>
      <c r="B47" s="81"/>
      <c r="C47" s="81"/>
      <c r="D47" s="83" t="s">
        <v>170</v>
      </c>
      <c r="E47" s="81"/>
      <c r="F47" s="81"/>
      <c r="G47" s="81"/>
      <c r="H47" s="81"/>
      <c r="I47" s="81"/>
      <c r="J47" s="81"/>
      <c r="K47" s="81"/>
      <c r="L47" s="81"/>
      <c r="M47" s="81"/>
      <c r="N47" s="108"/>
      <c r="O47" s="108"/>
      <c r="P47" s="243">
        <f t="shared" ref="P47" si="29">O47*H47*12</f>
        <v>0</v>
      </c>
      <c r="Q47" s="243"/>
      <c r="R47" s="243"/>
      <c r="S47" s="243">
        <f t="shared" ref="S47" si="30">Q47*L47*R47</f>
        <v>0</v>
      </c>
      <c r="T47" s="243"/>
      <c r="U47" s="243"/>
      <c r="V47" s="243">
        <f t="shared" ref="V47" si="31">T47*M47*U47</f>
        <v>0</v>
      </c>
      <c r="W47" s="60">
        <f t="shared" ref="W47" si="32">V47+S47+P47</f>
        <v>0</v>
      </c>
      <c r="X47" s="82"/>
      <c r="Y47" s="80"/>
    </row>
    <row r="48" spans="1:25" customFormat="1" ht="27" customHeight="1">
      <c r="A48" s="77"/>
      <c r="B48" s="78" t="s">
        <v>404</v>
      </c>
      <c r="C48" s="78"/>
      <c r="D48" s="8" t="s">
        <v>379</v>
      </c>
      <c r="E48" s="78"/>
      <c r="F48" s="78"/>
      <c r="G48" s="78"/>
      <c r="H48" s="78"/>
      <c r="I48" s="78"/>
      <c r="J48" s="78"/>
      <c r="K48" s="78"/>
      <c r="L48" s="78"/>
      <c r="M48" s="78"/>
      <c r="N48" s="107"/>
      <c r="O48" s="107"/>
      <c r="P48" s="107"/>
      <c r="Q48" s="107"/>
      <c r="R48" s="107"/>
      <c r="S48" s="107"/>
      <c r="T48" s="107"/>
      <c r="U48" s="107"/>
      <c r="V48" s="107"/>
      <c r="W48" s="107">
        <f>W49+W50+W51+W52+W53</f>
        <v>7.2</v>
      </c>
      <c r="X48" s="79"/>
      <c r="Y48" s="80"/>
    </row>
    <row r="49" spans="1:25" customFormat="1" ht="27" customHeight="1">
      <c r="A49" s="77"/>
      <c r="B49" s="81"/>
      <c r="C49" s="81"/>
      <c r="D49" s="83" t="s">
        <v>454</v>
      </c>
      <c r="E49" s="81"/>
      <c r="F49" s="81"/>
      <c r="G49" s="80">
        <v>1</v>
      </c>
      <c r="H49" s="80">
        <v>1</v>
      </c>
      <c r="I49" s="80">
        <v>15000</v>
      </c>
      <c r="J49" s="80"/>
      <c r="K49" s="80"/>
      <c r="L49" s="15">
        <f>G49-H49</f>
        <v>0</v>
      </c>
      <c r="M49" s="80">
        <v>0</v>
      </c>
      <c r="N49" s="279">
        <v>0</v>
      </c>
      <c r="O49" s="279">
        <v>15000</v>
      </c>
      <c r="P49" s="242">
        <f>O49*H49*12/100000</f>
        <v>1.8</v>
      </c>
      <c r="Q49" s="242"/>
      <c r="R49" s="242"/>
      <c r="S49" s="242">
        <f>Q49*L49*R49</f>
        <v>0</v>
      </c>
      <c r="T49" s="242"/>
      <c r="U49" s="242"/>
      <c r="V49" s="242">
        <f>T49*M49*U49</f>
        <v>0</v>
      </c>
      <c r="W49" s="38">
        <f>V49+S49+P49</f>
        <v>1.8</v>
      </c>
      <c r="X49" s="15" t="s">
        <v>651</v>
      </c>
      <c r="Y49" s="80"/>
    </row>
    <row r="50" spans="1:25" customFormat="1" ht="27" customHeight="1">
      <c r="A50" s="77"/>
      <c r="B50" s="81"/>
      <c r="C50" s="81"/>
      <c r="D50" s="83" t="s">
        <v>455</v>
      </c>
      <c r="E50" s="81"/>
      <c r="F50" s="81"/>
      <c r="G50" s="80">
        <v>1</v>
      </c>
      <c r="H50" s="80">
        <v>1</v>
      </c>
      <c r="I50" s="80">
        <v>15000</v>
      </c>
      <c r="J50" s="80"/>
      <c r="K50" s="80"/>
      <c r="L50" s="15">
        <f>G50-H50</f>
        <v>0</v>
      </c>
      <c r="M50" s="80">
        <v>0</v>
      </c>
      <c r="N50" s="279">
        <v>0</v>
      </c>
      <c r="O50" s="279">
        <v>15000</v>
      </c>
      <c r="P50" s="242">
        <f>O50*H50*12/100000</f>
        <v>1.8</v>
      </c>
      <c r="Q50" s="242"/>
      <c r="R50" s="242"/>
      <c r="S50" s="242">
        <f>Q50*L50*R50</f>
        <v>0</v>
      </c>
      <c r="T50" s="242"/>
      <c r="U50" s="242"/>
      <c r="V50" s="242">
        <f>T50*M50*U50</f>
        <v>0</v>
      </c>
      <c r="W50" s="38">
        <f>V50+S50+P50</f>
        <v>1.8</v>
      </c>
      <c r="X50" s="15" t="s">
        <v>651</v>
      </c>
      <c r="Y50" s="80"/>
    </row>
    <row r="51" spans="1:25" customFormat="1" ht="27" customHeight="1">
      <c r="A51" s="77"/>
      <c r="B51" s="81"/>
      <c r="C51" s="81"/>
      <c r="D51" s="83" t="s">
        <v>456</v>
      </c>
      <c r="E51" s="81"/>
      <c r="F51" s="81"/>
      <c r="G51" s="80">
        <v>1</v>
      </c>
      <c r="H51" s="80">
        <v>1</v>
      </c>
      <c r="I51" s="80">
        <v>15000</v>
      </c>
      <c r="J51" s="80"/>
      <c r="K51" s="80"/>
      <c r="L51" s="15">
        <f>G51-H51</f>
        <v>0</v>
      </c>
      <c r="M51" s="80">
        <v>0</v>
      </c>
      <c r="N51" s="279">
        <v>0</v>
      </c>
      <c r="O51" s="279">
        <v>15000</v>
      </c>
      <c r="P51" s="242">
        <f>O51*H51*12/100000</f>
        <v>1.8</v>
      </c>
      <c r="Q51" s="242"/>
      <c r="R51" s="242"/>
      <c r="S51" s="242">
        <f>Q51*L51*R51</f>
        <v>0</v>
      </c>
      <c r="T51" s="242"/>
      <c r="U51" s="242"/>
      <c r="V51" s="242">
        <f>T51*M51*U51/100000</f>
        <v>0</v>
      </c>
      <c r="W51" s="38">
        <f>V51+S51+P51</f>
        <v>1.8</v>
      </c>
      <c r="X51" s="15" t="s">
        <v>651</v>
      </c>
      <c r="Y51" s="80"/>
    </row>
    <row r="52" spans="1:25" customFormat="1" ht="27" customHeight="1">
      <c r="A52" s="77"/>
      <c r="B52" s="81"/>
      <c r="C52" s="81"/>
      <c r="D52" s="83" t="s">
        <v>457</v>
      </c>
      <c r="E52" s="81"/>
      <c r="F52" s="81"/>
      <c r="G52" s="80">
        <v>1</v>
      </c>
      <c r="H52" s="80">
        <v>1</v>
      </c>
      <c r="I52" s="80">
        <v>15000</v>
      </c>
      <c r="J52" s="80"/>
      <c r="K52" s="80"/>
      <c r="L52" s="15">
        <f>G52-H52</f>
        <v>0</v>
      </c>
      <c r="M52" s="80">
        <v>0</v>
      </c>
      <c r="N52" s="279">
        <v>0</v>
      </c>
      <c r="O52" s="279">
        <v>15000</v>
      </c>
      <c r="P52" s="242">
        <f>O52*H52*12/100000</f>
        <v>1.8</v>
      </c>
      <c r="Q52" s="242"/>
      <c r="R52" s="242"/>
      <c r="S52" s="242">
        <f>Q52*L52*R52</f>
        <v>0</v>
      </c>
      <c r="T52" s="242"/>
      <c r="U52" s="242"/>
      <c r="V52" s="242">
        <f>T52*M52*U52</f>
        <v>0</v>
      </c>
      <c r="W52" s="38">
        <f>V52+S52+P52</f>
        <v>1.8</v>
      </c>
      <c r="X52" s="15" t="s">
        <v>651</v>
      </c>
      <c r="Y52" s="80"/>
    </row>
    <row r="53" spans="1:25" customFormat="1" ht="27" customHeight="1">
      <c r="A53" s="77"/>
      <c r="B53" s="81"/>
      <c r="C53" s="81"/>
      <c r="D53" s="83" t="s">
        <v>170</v>
      </c>
      <c r="E53" s="81"/>
      <c r="F53" s="81"/>
      <c r="G53" s="81"/>
      <c r="H53" s="81"/>
      <c r="I53" s="81"/>
      <c r="J53" s="81"/>
      <c r="K53" s="81"/>
      <c r="L53" s="81"/>
      <c r="M53" s="81"/>
      <c r="N53" s="108"/>
      <c r="O53" s="108"/>
      <c r="P53" s="243">
        <f t="shared" ref="P53" si="33">O53*H53*12</f>
        <v>0</v>
      </c>
      <c r="Q53" s="243"/>
      <c r="R53" s="243"/>
      <c r="S53" s="243">
        <f t="shared" ref="S53" si="34">Q53*L53*R53</f>
        <v>0</v>
      </c>
      <c r="T53" s="243"/>
      <c r="U53" s="243"/>
      <c r="V53" s="243">
        <f t="shared" ref="V53" si="35">T53*M53*U53</f>
        <v>0</v>
      </c>
      <c r="W53" s="60">
        <f t="shared" ref="W53" si="36">V53+S53+P53</f>
        <v>0</v>
      </c>
      <c r="X53" s="82"/>
      <c r="Y53" s="80"/>
    </row>
    <row r="54" spans="1:25" customFormat="1" ht="27" customHeight="1">
      <c r="A54" s="77"/>
      <c r="B54" s="78" t="s">
        <v>405</v>
      </c>
      <c r="C54" s="78"/>
      <c r="D54" s="8" t="s">
        <v>380</v>
      </c>
      <c r="E54" s="78"/>
      <c r="F54" s="78"/>
      <c r="G54" s="78"/>
      <c r="H54" s="78"/>
      <c r="I54" s="78"/>
      <c r="J54" s="78"/>
      <c r="K54" s="78"/>
      <c r="L54" s="78"/>
      <c r="M54" s="78"/>
      <c r="N54" s="107"/>
      <c r="O54" s="107"/>
      <c r="P54" s="107"/>
      <c r="Q54" s="107"/>
      <c r="R54" s="107"/>
      <c r="S54" s="107"/>
      <c r="T54" s="107"/>
      <c r="U54" s="107"/>
      <c r="V54" s="107"/>
      <c r="W54" s="107">
        <f>W55+W56+W57+W58</f>
        <v>5.4</v>
      </c>
      <c r="X54" s="79"/>
      <c r="Y54" s="80"/>
    </row>
    <row r="55" spans="1:25" customFormat="1" ht="27" customHeight="1">
      <c r="A55" s="77"/>
      <c r="B55" s="81"/>
      <c r="C55" s="81"/>
      <c r="D55" s="83" t="s">
        <v>381</v>
      </c>
      <c r="E55" s="81"/>
      <c r="F55" s="81"/>
      <c r="G55" s="80">
        <v>3</v>
      </c>
      <c r="H55" s="80">
        <v>3</v>
      </c>
      <c r="I55" s="80">
        <v>15000</v>
      </c>
      <c r="J55" s="80"/>
      <c r="K55" s="80"/>
      <c r="L55" s="15">
        <f>G55-H55</f>
        <v>0</v>
      </c>
      <c r="M55" s="80">
        <v>0</v>
      </c>
      <c r="N55" s="279">
        <v>0</v>
      </c>
      <c r="O55" s="279">
        <v>15000</v>
      </c>
      <c r="P55" s="242">
        <f>O55*H55*12/100000</f>
        <v>5.4</v>
      </c>
      <c r="Q55" s="242"/>
      <c r="R55" s="242"/>
      <c r="S55" s="242">
        <f>Q55*L55*R55/100000</f>
        <v>0</v>
      </c>
      <c r="T55" s="242"/>
      <c r="U55" s="242"/>
      <c r="V55" s="242">
        <f>T55*M55*U55</f>
        <v>0</v>
      </c>
      <c r="W55" s="38">
        <f>V55+S55+P55</f>
        <v>5.4</v>
      </c>
      <c r="X55" s="15" t="s">
        <v>651</v>
      </c>
      <c r="Y55" s="80"/>
    </row>
    <row r="56" spans="1:25" customFormat="1" ht="27" customHeight="1">
      <c r="A56" s="77"/>
      <c r="B56" s="81"/>
      <c r="C56" s="81"/>
      <c r="D56" s="83" t="s">
        <v>382</v>
      </c>
      <c r="E56" s="81"/>
      <c r="F56" s="81"/>
      <c r="G56" s="81"/>
      <c r="H56" s="81"/>
      <c r="I56" s="81"/>
      <c r="J56" s="81"/>
      <c r="K56" s="81"/>
      <c r="L56" s="81"/>
      <c r="M56" s="81"/>
      <c r="N56" s="108"/>
      <c r="O56" s="108"/>
      <c r="P56" s="243">
        <f t="shared" ref="P56:P58" si="37">O56*H56*12</f>
        <v>0</v>
      </c>
      <c r="Q56" s="243"/>
      <c r="R56" s="243"/>
      <c r="S56" s="243">
        <f t="shared" ref="S56:S58" si="38">Q56*L56*R56</f>
        <v>0</v>
      </c>
      <c r="T56" s="243"/>
      <c r="U56" s="243"/>
      <c r="V56" s="243">
        <f t="shared" ref="V56:V58" si="39">T56*M56*U56</f>
        <v>0</v>
      </c>
      <c r="W56" s="60">
        <f t="shared" ref="W56:W58" si="40">V56+S56+P56</f>
        <v>0</v>
      </c>
      <c r="X56" s="82"/>
      <c r="Y56" s="80"/>
    </row>
    <row r="57" spans="1:25" customFormat="1" ht="27" customHeight="1">
      <c r="A57" s="77"/>
      <c r="B57" s="81"/>
      <c r="C57" s="81"/>
      <c r="D57" s="83" t="s">
        <v>383</v>
      </c>
      <c r="E57" s="81"/>
      <c r="F57" s="81"/>
      <c r="G57" s="81"/>
      <c r="H57" s="81"/>
      <c r="I57" s="81"/>
      <c r="J57" s="81"/>
      <c r="K57" s="81"/>
      <c r="L57" s="81"/>
      <c r="M57" s="81"/>
      <c r="N57" s="108"/>
      <c r="O57" s="108"/>
      <c r="P57" s="243">
        <f t="shared" si="37"/>
        <v>0</v>
      </c>
      <c r="Q57" s="243"/>
      <c r="R57" s="243"/>
      <c r="S57" s="243">
        <f t="shared" si="38"/>
        <v>0</v>
      </c>
      <c r="T57" s="243"/>
      <c r="U57" s="243"/>
      <c r="V57" s="243">
        <f t="shared" si="39"/>
        <v>0</v>
      </c>
      <c r="W57" s="60">
        <f t="shared" si="40"/>
        <v>0</v>
      </c>
      <c r="X57" s="82"/>
      <c r="Y57" s="80"/>
    </row>
    <row r="58" spans="1:25" customFormat="1" ht="27" customHeight="1">
      <c r="A58" s="77"/>
      <c r="B58" s="81"/>
      <c r="C58" s="81"/>
      <c r="D58" s="83" t="s">
        <v>170</v>
      </c>
      <c r="E58" s="81"/>
      <c r="F58" s="81"/>
      <c r="G58" s="81"/>
      <c r="H58" s="81"/>
      <c r="I58" s="81"/>
      <c r="J58" s="81"/>
      <c r="K58" s="81"/>
      <c r="L58" s="81"/>
      <c r="M58" s="81"/>
      <c r="N58" s="108"/>
      <c r="O58" s="108"/>
      <c r="P58" s="243">
        <f t="shared" si="37"/>
        <v>0</v>
      </c>
      <c r="Q58" s="243"/>
      <c r="R58" s="243"/>
      <c r="S58" s="243">
        <f t="shared" si="38"/>
        <v>0</v>
      </c>
      <c r="T58" s="243"/>
      <c r="U58" s="243"/>
      <c r="V58" s="243">
        <f t="shared" si="39"/>
        <v>0</v>
      </c>
      <c r="W58" s="60">
        <f t="shared" si="40"/>
        <v>0</v>
      </c>
      <c r="X58" s="82"/>
      <c r="Y58" s="80"/>
    </row>
    <row r="59" spans="1:25" customFormat="1" ht="27" customHeight="1">
      <c r="A59" s="77"/>
      <c r="B59" s="78" t="s">
        <v>406</v>
      </c>
      <c r="C59" s="78"/>
      <c r="D59" s="8" t="s">
        <v>384</v>
      </c>
      <c r="E59" s="78"/>
      <c r="F59" s="78"/>
      <c r="G59" s="78"/>
      <c r="H59" s="78"/>
      <c r="I59" s="78"/>
      <c r="J59" s="78"/>
      <c r="K59" s="78"/>
      <c r="L59" s="78"/>
      <c r="M59" s="78"/>
      <c r="N59" s="107"/>
      <c r="O59" s="107"/>
      <c r="P59" s="107"/>
      <c r="Q59" s="107"/>
      <c r="R59" s="107"/>
      <c r="S59" s="107"/>
      <c r="T59" s="107"/>
      <c r="U59" s="107"/>
      <c r="V59" s="107"/>
      <c r="W59" s="107">
        <f>W60</f>
        <v>0</v>
      </c>
      <c r="X59" s="79"/>
      <c r="Y59" s="80"/>
    </row>
    <row r="60" spans="1:25" customFormat="1" ht="27" customHeight="1">
      <c r="A60" s="77"/>
      <c r="B60" s="81"/>
      <c r="C60" s="81"/>
      <c r="D60" s="87" t="s">
        <v>372</v>
      </c>
      <c r="E60" s="81"/>
      <c r="F60" s="81"/>
      <c r="G60" s="81"/>
      <c r="H60" s="81"/>
      <c r="I60" s="81"/>
      <c r="J60" s="81"/>
      <c r="K60" s="81"/>
      <c r="L60" s="81"/>
      <c r="M60" s="81"/>
      <c r="N60" s="108"/>
      <c r="O60" s="108"/>
      <c r="P60" s="243">
        <f t="shared" ref="P60" si="41">O60*H60*12</f>
        <v>0</v>
      </c>
      <c r="Q60" s="243"/>
      <c r="R60" s="243"/>
      <c r="S60" s="243">
        <f t="shared" ref="S60" si="42">Q60*L60*R60</f>
        <v>0</v>
      </c>
      <c r="T60" s="243"/>
      <c r="U60" s="243"/>
      <c r="V60" s="243">
        <f t="shared" ref="V60" si="43">T60*M60*U60</f>
        <v>0</v>
      </c>
      <c r="W60" s="60">
        <f t="shared" ref="W60" si="44">V60+S60+P60</f>
        <v>0</v>
      </c>
      <c r="X60" s="82"/>
      <c r="Y60" s="80"/>
    </row>
    <row r="61" spans="1:25" customFormat="1" ht="27" customHeight="1">
      <c r="A61" s="77"/>
      <c r="B61" s="78" t="s">
        <v>407</v>
      </c>
      <c r="C61" s="78"/>
      <c r="D61" s="8" t="s">
        <v>385</v>
      </c>
      <c r="E61" s="78"/>
      <c r="F61" s="78"/>
      <c r="G61" s="78"/>
      <c r="H61" s="78"/>
      <c r="I61" s="78"/>
      <c r="J61" s="78"/>
      <c r="K61" s="78"/>
      <c r="L61" s="78"/>
      <c r="M61" s="78"/>
      <c r="N61" s="107"/>
      <c r="O61" s="107"/>
      <c r="P61" s="107"/>
      <c r="Q61" s="107"/>
      <c r="R61" s="107"/>
      <c r="S61" s="107"/>
      <c r="T61" s="107"/>
      <c r="U61" s="107"/>
      <c r="V61" s="107"/>
      <c r="W61" s="107">
        <f>W62</f>
        <v>0</v>
      </c>
      <c r="X61" s="79"/>
      <c r="Y61" s="80"/>
    </row>
    <row r="62" spans="1:25" customFormat="1" ht="27" customHeight="1">
      <c r="A62" s="77"/>
      <c r="B62" s="81"/>
      <c r="C62" s="81"/>
      <c r="D62" s="83" t="s">
        <v>372</v>
      </c>
      <c r="E62" s="81"/>
      <c r="F62" s="81"/>
      <c r="G62" s="81"/>
      <c r="H62" s="81"/>
      <c r="I62" s="81"/>
      <c r="J62" s="81"/>
      <c r="K62" s="81"/>
      <c r="L62" s="81"/>
      <c r="M62" s="81"/>
      <c r="N62" s="108"/>
      <c r="O62" s="108"/>
      <c r="P62" s="243">
        <f t="shared" ref="P62" si="45">O62*H62*12</f>
        <v>0</v>
      </c>
      <c r="Q62" s="243"/>
      <c r="R62" s="243"/>
      <c r="S62" s="243">
        <f t="shared" ref="S62" si="46">Q62*L62*R62</f>
        <v>0</v>
      </c>
      <c r="T62" s="243"/>
      <c r="U62" s="243"/>
      <c r="V62" s="243">
        <f t="shared" ref="V62" si="47">T62*M62*U62</f>
        <v>0</v>
      </c>
      <c r="W62" s="60">
        <f t="shared" ref="W62" si="48">V62+S62+P62</f>
        <v>0</v>
      </c>
      <c r="X62" s="82"/>
      <c r="Y62" s="80"/>
    </row>
    <row r="63" spans="1:25" customFormat="1" ht="27" customHeight="1">
      <c r="A63" s="77"/>
      <c r="B63" s="78" t="s">
        <v>408</v>
      </c>
      <c r="C63" s="78" t="s">
        <v>386</v>
      </c>
      <c r="D63" s="8" t="s">
        <v>363</v>
      </c>
      <c r="E63" s="78"/>
      <c r="F63" s="78"/>
      <c r="G63" s="78"/>
      <c r="H63" s="78"/>
      <c r="I63" s="78"/>
      <c r="J63" s="78"/>
      <c r="K63" s="78"/>
      <c r="L63" s="78"/>
      <c r="M63" s="78"/>
      <c r="N63" s="107"/>
      <c r="O63" s="107"/>
      <c r="P63" s="107"/>
      <c r="Q63" s="107"/>
      <c r="R63" s="107"/>
      <c r="S63" s="107"/>
      <c r="T63" s="107"/>
      <c r="U63" s="107"/>
      <c r="V63" s="107"/>
      <c r="W63" s="107">
        <f>W64+W65+W66+W67</f>
        <v>155.77380000000002</v>
      </c>
      <c r="X63" s="79"/>
      <c r="Y63" s="80"/>
    </row>
    <row r="64" spans="1:25" customFormat="1" ht="27" customHeight="1">
      <c r="A64" s="77"/>
      <c r="B64" s="85"/>
      <c r="C64" s="88"/>
      <c r="D64" s="83" t="s">
        <v>541</v>
      </c>
      <c r="E64" s="81"/>
      <c r="F64" s="81"/>
      <c r="G64" s="80">
        <v>13</v>
      </c>
      <c r="H64" s="80">
        <v>9</v>
      </c>
      <c r="I64" s="80">
        <v>35625</v>
      </c>
      <c r="J64" s="80"/>
      <c r="K64" s="80"/>
      <c r="L64" s="15">
        <f>G64-H64</f>
        <v>4</v>
      </c>
      <c r="M64" s="80">
        <v>0</v>
      </c>
      <c r="N64" s="279">
        <v>0</v>
      </c>
      <c r="O64" s="80">
        <v>35625</v>
      </c>
      <c r="P64" s="242">
        <f>O64*H64*12/100000</f>
        <v>38.475000000000001</v>
      </c>
      <c r="Q64" s="80">
        <v>35625</v>
      </c>
      <c r="R64" s="242">
        <v>12</v>
      </c>
      <c r="S64" s="242">
        <f>Q64*L64*R64/100000</f>
        <v>17.100000000000001</v>
      </c>
      <c r="T64" s="242"/>
      <c r="U64" s="242"/>
      <c r="V64" s="242">
        <f>T64*M64*U64</f>
        <v>0</v>
      </c>
      <c r="W64" s="38">
        <f>V64+S64+P64</f>
        <v>55.575000000000003</v>
      </c>
      <c r="X64" s="15" t="s">
        <v>651</v>
      </c>
      <c r="Y64" s="80"/>
    </row>
    <row r="65" spans="1:25" customFormat="1" ht="27" customHeight="1">
      <c r="A65" s="77"/>
      <c r="B65" s="85"/>
      <c r="C65" s="88"/>
      <c r="D65" s="83" t="s">
        <v>387</v>
      </c>
      <c r="E65" s="81"/>
      <c r="F65" s="81"/>
      <c r="G65" s="80">
        <v>13</v>
      </c>
      <c r="H65" s="80">
        <v>10</v>
      </c>
      <c r="I65" s="80">
        <v>28980</v>
      </c>
      <c r="J65" s="80"/>
      <c r="K65" s="80"/>
      <c r="L65" s="15">
        <f>G65-H65</f>
        <v>3</v>
      </c>
      <c r="M65" s="80">
        <v>0</v>
      </c>
      <c r="N65" s="279">
        <v>0</v>
      </c>
      <c r="O65" s="80">
        <v>28980</v>
      </c>
      <c r="P65" s="242">
        <f>O65*H65*12/100000</f>
        <v>34.776000000000003</v>
      </c>
      <c r="Q65" s="80">
        <v>28980</v>
      </c>
      <c r="R65" s="242">
        <v>12</v>
      </c>
      <c r="S65" s="242">
        <f>Q65*L65*R65/100000</f>
        <v>10.4328</v>
      </c>
      <c r="T65" s="242"/>
      <c r="U65" s="242"/>
      <c r="V65" s="242">
        <f>T65*M65*U65</f>
        <v>0</v>
      </c>
      <c r="W65" s="38">
        <f>V65+S65+P65</f>
        <v>45.208800000000004</v>
      </c>
      <c r="X65" s="15" t="s">
        <v>651</v>
      </c>
      <c r="Y65" s="80"/>
    </row>
    <row r="66" spans="1:25" customFormat="1" ht="27" customHeight="1">
      <c r="A66" s="77"/>
      <c r="B66" s="85"/>
      <c r="C66" s="88"/>
      <c r="D66" s="84" t="s">
        <v>388</v>
      </c>
      <c r="E66" s="81"/>
      <c r="F66" s="81"/>
      <c r="G66" s="80">
        <v>13</v>
      </c>
      <c r="H66" s="80">
        <v>13</v>
      </c>
      <c r="I66" s="80">
        <v>35250</v>
      </c>
      <c r="J66" s="80"/>
      <c r="K66" s="80"/>
      <c r="L66" s="15">
        <f>G66-H66</f>
        <v>0</v>
      </c>
      <c r="M66" s="80">
        <v>0</v>
      </c>
      <c r="N66" s="279">
        <v>0</v>
      </c>
      <c r="O66" s="80">
        <v>35250</v>
      </c>
      <c r="P66" s="242">
        <f>O66*H66*12/100000</f>
        <v>54.99</v>
      </c>
      <c r="Q66" s="80">
        <v>35250</v>
      </c>
      <c r="R66" s="242">
        <v>12</v>
      </c>
      <c r="S66" s="242">
        <f>Q66*L66*R66/100000</f>
        <v>0</v>
      </c>
      <c r="T66" s="242"/>
      <c r="U66" s="242"/>
      <c r="V66" s="242">
        <f>T66*M66*U66</f>
        <v>0</v>
      </c>
      <c r="W66" s="38">
        <f>V66+S66+P66</f>
        <v>54.99</v>
      </c>
      <c r="X66" s="15" t="s">
        <v>651</v>
      </c>
      <c r="Y66" s="80"/>
    </row>
    <row r="67" spans="1:25" customFormat="1" ht="27" customHeight="1">
      <c r="A67" s="77"/>
      <c r="B67" s="85"/>
      <c r="C67" s="88"/>
      <c r="D67" s="83" t="s">
        <v>170</v>
      </c>
      <c r="E67" s="81"/>
      <c r="F67" s="81"/>
      <c r="G67" s="81"/>
      <c r="H67" s="81"/>
      <c r="I67" s="81"/>
      <c r="J67" s="81"/>
      <c r="K67" s="81"/>
      <c r="L67" s="81"/>
      <c r="M67" s="81"/>
      <c r="N67" s="108"/>
      <c r="O67" s="108"/>
      <c r="P67" s="243">
        <f t="shared" ref="P67" si="49">O67*H67*12</f>
        <v>0</v>
      </c>
      <c r="Q67" s="243"/>
      <c r="R67" s="243"/>
      <c r="S67" s="243">
        <f t="shared" ref="S67" si="50">Q67*L67*R67</f>
        <v>0</v>
      </c>
      <c r="T67" s="243"/>
      <c r="U67" s="243"/>
      <c r="V67" s="243">
        <f t="shared" ref="V67" si="51">T67*M67*U67</f>
        <v>0</v>
      </c>
      <c r="W67" s="60">
        <f t="shared" ref="W67" si="52">V67+S67+P67</f>
        <v>0</v>
      </c>
      <c r="X67" s="82"/>
      <c r="Y67" s="80"/>
    </row>
    <row r="68" spans="1:25" customFormat="1" ht="27" customHeight="1">
      <c r="A68" s="77"/>
      <c r="B68" s="78" t="s">
        <v>409</v>
      </c>
      <c r="C68" s="78"/>
      <c r="D68" s="8" t="s">
        <v>368</v>
      </c>
      <c r="E68" s="78"/>
      <c r="F68" s="78"/>
      <c r="G68" s="78"/>
      <c r="H68" s="78"/>
      <c r="I68" s="78"/>
      <c r="J68" s="78"/>
      <c r="K68" s="78"/>
      <c r="L68" s="78"/>
      <c r="M68" s="78"/>
      <c r="N68" s="107"/>
      <c r="O68" s="107"/>
      <c r="P68" s="107"/>
      <c r="Q68" s="107"/>
      <c r="R68" s="107"/>
      <c r="S68" s="107"/>
      <c r="T68" s="107"/>
      <c r="U68" s="107"/>
      <c r="V68" s="107"/>
      <c r="W68" s="107">
        <f>W69</f>
        <v>0</v>
      </c>
      <c r="X68" s="79"/>
      <c r="Y68" s="80"/>
    </row>
    <row r="69" spans="1:25" customFormat="1" ht="27" customHeight="1">
      <c r="A69" s="77"/>
      <c r="B69" s="89"/>
      <c r="C69" s="90"/>
      <c r="D69" s="84"/>
      <c r="E69" s="81"/>
      <c r="F69" s="81"/>
      <c r="G69" s="81"/>
      <c r="H69" s="81"/>
      <c r="I69" s="81"/>
      <c r="J69" s="81"/>
      <c r="K69" s="81"/>
      <c r="L69" s="81"/>
      <c r="M69" s="81"/>
      <c r="N69" s="108"/>
      <c r="O69" s="108"/>
      <c r="P69" s="243">
        <f t="shared" ref="P69" si="53">O69*H69*12</f>
        <v>0</v>
      </c>
      <c r="Q69" s="243"/>
      <c r="R69" s="243"/>
      <c r="S69" s="243">
        <f t="shared" ref="S69" si="54">Q69*L69*R69</f>
        <v>0</v>
      </c>
      <c r="T69" s="243"/>
      <c r="U69" s="243"/>
      <c r="V69" s="243">
        <f t="shared" ref="V69" si="55">T69*M69*U69</f>
        <v>0</v>
      </c>
      <c r="W69" s="60">
        <f t="shared" ref="W69" si="56">V69+S69+P69</f>
        <v>0</v>
      </c>
      <c r="X69" s="82"/>
      <c r="Y69" s="80"/>
    </row>
    <row r="70" spans="1:25" customFormat="1" ht="30.6" hidden="1" customHeight="1">
      <c r="A70" s="77"/>
      <c r="B70" s="78" t="s">
        <v>389</v>
      </c>
      <c r="C70" s="78" t="s">
        <v>390</v>
      </c>
      <c r="D70" s="8" t="s">
        <v>371</v>
      </c>
      <c r="E70" s="78"/>
      <c r="F70" s="78"/>
      <c r="G70" s="78"/>
      <c r="H70" s="78"/>
      <c r="I70" s="78"/>
      <c r="J70" s="78"/>
      <c r="K70" s="78"/>
      <c r="L70" s="78"/>
      <c r="M70" s="78"/>
      <c r="N70" s="107"/>
      <c r="O70" s="107"/>
      <c r="P70" s="107"/>
      <c r="Q70" s="107"/>
      <c r="R70" s="107"/>
      <c r="S70" s="107"/>
      <c r="T70" s="107"/>
      <c r="U70" s="107"/>
      <c r="V70" s="107"/>
      <c r="W70" s="107">
        <f>W74</f>
        <v>0</v>
      </c>
      <c r="X70" s="79"/>
      <c r="Y70" s="80"/>
    </row>
    <row r="71" spans="1:25" customFormat="1" ht="27" hidden="1" customHeight="1">
      <c r="A71" s="77"/>
      <c r="B71" s="91"/>
      <c r="C71" s="91"/>
      <c r="D71" s="84" t="s">
        <v>391</v>
      </c>
      <c r="E71" s="81"/>
      <c r="F71" s="81"/>
      <c r="G71" s="81"/>
      <c r="H71" s="81"/>
      <c r="I71" s="81"/>
      <c r="J71" s="81"/>
      <c r="K71" s="81"/>
      <c r="L71" s="81"/>
      <c r="M71" s="81"/>
      <c r="N71" s="108"/>
      <c r="O71" s="108"/>
      <c r="P71" s="108"/>
      <c r="Q71" s="108"/>
      <c r="R71" s="108"/>
      <c r="S71" s="108"/>
      <c r="T71" s="108"/>
      <c r="U71" s="108"/>
      <c r="V71" s="108"/>
      <c r="W71" s="108"/>
      <c r="X71" s="82"/>
      <c r="Y71" s="80"/>
    </row>
    <row r="72" spans="1:25" customFormat="1" ht="27" hidden="1" customHeight="1">
      <c r="A72" s="77"/>
      <c r="B72" s="91"/>
      <c r="C72" s="91"/>
      <c r="D72" s="84" t="s">
        <v>163</v>
      </c>
      <c r="E72" s="81"/>
      <c r="F72" s="81"/>
      <c r="G72" s="81"/>
      <c r="H72" s="81"/>
      <c r="I72" s="81"/>
      <c r="J72" s="81"/>
      <c r="K72" s="81"/>
      <c r="L72" s="81"/>
      <c r="M72" s="81"/>
      <c r="N72" s="108"/>
      <c r="O72" s="108"/>
      <c r="P72" s="108"/>
      <c r="Q72" s="108"/>
      <c r="R72" s="108"/>
      <c r="S72" s="108"/>
      <c r="T72" s="108"/>
      <c r="U72" s="108"/>
      <c r="V72" s="108"/>
      <c r="W72" s="108"/>
      <c r="X72" s="82"/>
      <c r="Y72" s="80"/>
    </row>
    <row r="73" spans="1:25" customFormat="1" ht="27" hidden="1" customHeight="1">
      <c r="A73" s="77"/>
      <c r="B73" s="91"/>
      <c r="C73" s="91"/>
      <c r="D73" s="83" t="s">
        <v>170</v>
      </c>
      <c r="E73" s="81"/>
      <c r="F73" s="81"/>
      <c r="G73" s="81"/>
      <c r="H73" s="81"/>
      <c r="I73" s="81"/>
      <c r="J73" s="81"/>
      <c r="K73" s="81"/>
      <c r="L73" s="81"/>
      <c r="M73" s="81"/>
      <c r="N73" s="108"/>
      <c r="O73" s="108"/>
      <c r="P73" s="108"/>
      <c r="Q73" s="108"/>
      <c r="R73" s="108"/>
      <c r="S73" s="108"/>
      <c r="T73" s="108"/>
      <c r="U73" s="108"/>
      <c r="V73" s="108"/>
      <c r="W73" s="108"/>
      <c r="X73" s="82"/>
      <c r="Y73" s="80"/>
    </row>
    <row r="74" spans="1:25" customFormat="1" ht="27" hidden="1" customHeight="1">
      <c r="A74" s="77"/>
      <c r="B74" s="91"/>
      <c r="C74" s="91"/>
      <c r="D74" s="87" t="s">
        <v>18</v>
      </c>
      <c r="E74" s="81"/>
      <c r="F74" s="81"/>
      <c r="G74" s="81"/>
      <c r="H74" s="81"/>
      <c r="I74" s="81"/>
      <c r="J74" s="81"/>
      <c r="K74" s="81"/>
      <c r="L74" s="81"/>
      <c r="M74" s="81"/>
      <c r="N74" s="108"/>
      <c r="O74" s="108"/>
      <c r="P74" s="108"/>
      <c r="Q74" s="108"/>
      <c r="R74" s="108"/>
      <c r="S74" s="108"/>
      <c r="T74" s="108"/>
      <c r="U74" s="108"/>
      <c r="V74" s="108"/>
      <c r="W74" s="109">
        <f>SUM(W71:W73)</f>
        <v>0</v>
      </c>
      <c r="X74" s="82"/>
      <c r="Y74" s="80"/>
    </row>
    <row r="75" spans="1:25" customFormat="1" ht="27" customHeight="1">
      <c r="A75" s="77"/>
      <c r="B75" s="78" t="s">
        <v>392</v>
      </c>
      <c r="C75" s="78" t="s">
        <v>393</v>
      </c>
      <c r="D75" s="8" t="s">
        <v>374</v>
      </c>
      <c r="E75" s="78"/>
      <c r="F75" s="78"/>
      <c r="G75" s="78"/>
      <c r="H75" s="78"/>
      <c r="I75" s="78"/>
      <c r="J75" s="78"/>
      <c r="K75" s="78"/>
      <c r="L75" s="78"/>
      <c r="M75" s="78"/>
      <c r="N75" s="107"/>
      <c r="O75" s="107"/>
      <c r="P75" s="107"/>
      <c r="Q75" s="107"/>
      <c r="R75" s="107"/>
      <c r="S75" s="107"/>
      <c r="T75" s="107"/>
      <c r="U75" s="107"/>
      <c r="V75" s="107"/>
      <c r="W75" s="107">
        <f>W76</f>
        <v>23.400000000000002</v>
      </c>
      <c r="X75" s="79"/>
      <c r="Y75" s="80"/>
    </row>
    <row r="76" spans="1:25" customFormat="1" ht="27" customHeight="1">
      <c r="A76" s="77"/>
      <c r="B76" s="89"/>
      <c r="C76" s="90"/>
      <c r="D76" s="83" t="s">
        <v>394</v>
      </c>
      <c r="E76" s="81"/>
      <c r="F76" s="81"/>
      <c r="G76" s="80">
        <v>13</v>
      </c>
      <c r="H76" s="80">
        <v>11</v>
      </c>
      <c r="I76" s="80">
        <v>15000</v>
      </c>
      <c r="J76" s="80"/>
      <c r="K76" s="80"/>
      <c r="L76" s="15">
        <f>G76-H76</f>
        <v>2</v>
      </c>
      <c r="M76" s="80">
        <v>0</v>
      </c>
      <c r="N76" s="279">
        <v>0</v>
      </c>
      <c r="O76" s="279">
        <v>15000</v>
      </c>
      <c r="P76" s="242">
        <f>O76*H76*12/100000</f>
        <v>19.8</v>
      </c>
      <c r="Q76" s="242">
        <v>15000</v>
      </c>
      <c r="R76" s="242">
        <v>12</v>
      </c>
      <c r="S76" s="242">
        <f>Q76*L76*R76/100000</f>
        <v>3.6</v>
      </c>
      <c r="T76" s="242"/>
      <c r="U76" s="242"/>
      <c r="V76" s="242">
        <f>T76*M76*U76</f>
        <v>0</v>
      </c>
      <c r="W76" s="38">
        <f>V76+S76+P76</f>
        <v>23.400000000000002</v>
      </c>
      <c r="X76" s="15" t="s">
        <v>651</v>
      </c>
      <c r="Y76" s="80"/>
    </row>
    <row r="77" spans="1:25" customFormat="1" ht="27" customHeight="1">
      <c r="A77" s="77"/>
      <c r="B77" s="78" t="s">
        <v>410</v>
      </c>
      <c r="C77" s="78" t="s">
        <v>395</v>
      </c>
      <c r="D77" s="8" t="s">
        <v>396</v>
      </c>
      <c r="E77" s="78"/>
      <c r="F77" s="78"/>
      <c r="G77" s="78"/>
      <c r="H77" s="78"/>
      <c r="I77" s="78"/>
      <c r="J77" s="78"/>
      <c r="K77" s="78"/>
      <c r="L77" s="78"/>
      <c r="M77" s="78"/>
      <c r="N77" s="107"/>
      <c r="O77" s="107"/>
      <c r="P77" s="107"/>
      <c r="Q77" s="107"/>
      <c r="R77" s="107"/>
      <c r="S77" s="107"/>
      <c r="T77" s="107"/>
      <c r="U77" s="107"/>
      <c r="V77" s="107"/>
      <c r="W77" s="107">
        <f>W78+W79+W80+W81</f>
        <v>0</v>
      </c>
      <c r="X77" s="79"/>
      <c r="Y77" s="80"/>
    </row>
    <row r="78" spans="1:25" customFormat="1" ht="27" customHeight="1">
      <c r="A78" s="77"/>
      <c r="B78" s="81"/>
      <c r="C78" s="81"/>
      <c r="D78" s="83" t="s">
        <v>381</v>
      </c>
      <c r="E78" s="81"/>
      <c r="F78" s="81"/>
      <c r="G78" s="81"/>
      <c r="H78" s="81"/>
      <c r="I78" s="81"/>
      <c r="J78" s="81"/>
      <c r="K78" s="81"/>
      <c r="L78" s="81"/>
      <c r="M78" s="81"/>
      <c r="N78" s="108"/>
      <c r="O78" s="108"/>
      <c r="P78" s="243">
        <f t="shared" ref="P78:P81" si="57">O78*H78*12</f>
        <v>0</v>
      </c>
      <c r="Q78" s="243"/>
      <c r="R78" s="243"/>
      <c r="S78" s="243">
        <f t="shared" ref="S78:S81" si="58">Q78*L78*R78</f>
        <v>0</v>
      </c>
      <c r="T78" s="243"/>
      <c r="U78" s="243"/>
      <c r="V78" s="243">
        <f t="shared" ref="V78:V81" si="59">T78*M78*U78</f>
        <v>0</v>
      </c>
      <c r="W78" s="60">
        <f t="shared" ref="W78:W81" si="60">V78+S78+P78</f>
        <v>0</v>
      </c>
      <c r="X78" s="82"/>
      <c r="Y78" s="80"/>
    </row>
    <row r="79" spans="1:25" customFormat="1" ht="27" customHeight="1">
      <c r="A79" s="77"/>
      <c r="B79" s="81"/>
      <c r="C79" s="81"/>
      <c r="D79" s="83" t="s">
        <v>382</v>
      </c>
      <c r="E79" s="81"/>
      <c r="F79" s="81"/>
      <c r="G79" s="81"/>
      <c r="H79" s="81"/>
      <c r="I79" s="81"/>
      <c r="J79" s="81"/>
      <c r="K79" s="81"/>
      <c r="L79" s="81"/>
      <c r="M79" s="81"/>
      <c r="N79" s="108"/>
      <c r="O79" s="108"/>
      <c r="P79" s="243">
        <f t="shared" si="57"/>
        <v>0</v>
      </c>
      <c r="Q79" s="243"/>
      <c r="R79" s="243"/>
      <c r="S79" s="243">
        <f t="shared" si="58"/>
        <v>0</v>
      </c>
      <c r="T79" s="243"/>
      <c r="U79" s="243"/>
      <c r="V79" s="243">
        <f t="shared" si="59"/>
        <v>0</v>
      </c>
      <c r="W79" s="60">
        <f t="shared" si="60"/>
        <v>0</v>
      </c>
      <c r="X79" s="82"/>
      <c r="Y79" s="80"/>
    </row>
    <row r="80" spans="1:25" customFormat="1" ht="27" customHeight="1">
      <c r="A80" s="77"/>
      <c r="B80" s="81"/>
      <c r="C80" s="81"/>
      <c r="D80" s="83" t="s">
        <v>383</v>
      </c>
      <c r="E80" s="81"/>
      <c r="F80" s="81"/>
      <c r="G80" s="81"/>
      <c r="H80" s="81"/>
      <c r="I80" s="81"/>
      <c r="J80" s="81"/>
      <c r="K80" s="81"/>
      <c r="L80" s="81"/>
      <c r="M80" s="81"/>
      <c r="N80" s="108"/>
      <c r="O80" s="108"/>
      <c r="P80" s="243">
        <f t="shared" si="57"/>
        <v>0</v>
      </c>
      <c r="Q80" s="243"/>
      <c r="R80" s="243"/>
      <c r="S80" s="243">
        <f t="shared" si="58"/>
        <v>0</v>
      </c>
      <c r="T80" s="243"/>
      <c r="U80" s="243"/>
      <c r="V80" s="243">
        <f t="shared" si="59"/>
        <v>0</v>
      </c>
      <c r="W80" s="60">
        <f t="shared" si="60"/>
        <v>0</v>
      </c>
      <c r="X80" s="82"/>
      <c r="Y80" s="80"/>
    </row>
    <row r="81" spans="1:25" customFormat="1" ht="27" customHeight="1">
      <c r="A81" s="77"/>
      <c r="B81" s="81"/>
      <c r="C81" s="81"/>
      <c r="D81" s="83" t="s">
        <v>170</v>
      </c>
      <c r="E81" s="81"/>
      <c r="F81" s="81"/>
      <c r="G81" s="81"/>
      <c r="H81" s="81"/>
      <c r="I81" s="81"/>
      <c r="J81" s="81"/>
      <c r="K81" s="81"/>
      <c r="L81" s="81"/>
      <c r="M81" s="81"/>
      <c r="N81" s="108"/>
      <c r="O81" s="108"/>
      <c r="P81" s="243">
        <f t="shared" si="57"/>
        <v>0</v>
      </c>
      <c r="Q81" s="243"/>
      <c r="R81" s="243"/>
      <c r="S81" s="243">
        <f t="shared" si="58"/>
        <v>0</v>
      </c>
      <c r="T81" s="243"/>
      <c r="U81" s="243"/>
      <c r="V81" s="243">
        <f t="shared" si="59"/>
        <v>0</v>
      </c>
      <c r="W81" s="60">
        <f t="shared" si="60"/>
        <v>0</v>
      </c>
      <c r="X81" s="82"/>
      <c r="Y81" s="80"/>
    </row>
    <row r="82" spans="1:25" customFormat="1" ht="27" customHeight="1">
      <c r="A82" s="77"/>
      <c r="B82" s="78" t="s">
        <v>411</v>
      </c>
      <c r="C82" s="78"/>
      <c r="D82" s="8" t="s">
        <v>379</v>
      </c>
      <c r="E82" s="78"/>
      <c r="F82" s="78"/>
      <c r="G82" s="78"/>
      <c r="H82" s="78"/>
      <c r="I82" s="78"/>
      <c r="J82" s="78"/>
      <c r="K82" s="78"/>
      <c r="L82" s="78"/>
      <c r="M82" s="78"/>
      <c r="N82" s="107"/>
      <c r="O82" s="107"/>
      <c r="P82" s="107"/>
      <c r="Q82" s="107"/>
      <c r="R82" s="107"/>
      <c r="S82" s="107"/>
      <c r="T82" s="107"/>
      <c r="U82" s="107"/>
      <c r="V82" s="107"/>
      <c r="W82" s="107">
        <f>W83</f>
        <v>25.200000000000003</v>
      </c>
      <c r="X82" s="79"/>
      <c r="Y82" s="80"/>
    </row>
    <row r="83" spans="1:25" customFormat="1" ht="27" customHeight="1">
      <c r="A83" s="77"/>
      <c r="B83" s="81"/>
      <c r="C83" s="81"/>
      <c r="D83" s="102" t="s">
        <v>458</v>
      </c>
      <c r="E83" s="81"/>
      <c r="F83" s="81"/>
      <c r="G83" s="80">
        <v>14</v>
      </c>
      <c r="H83" s="80">
        <v>11</v>
      </c>
      <c r="I83" s="80">
        <v>15000</v>
      </c>
      <c r="J83" s="80"/>
      <c r="K83" s="80"/>
      <c r="L83" s="80">
        <v>3</v>
      </c>
      <c r="M83" s="80">
        <v>0</v>
      </c>
      <c r="N83" s="279">
        <v>0</v>
      </c>
      <c r="O83" s="279">
        <v>15000</v>
      </c>
      <c r="P83" s="242">
        <f>O83*H83*12/100000</f>
        <v>19.8</v>
      </c>
      <c r="Q83" s="242">
        <v>15000</v>
      </c>
      <c r="R83" s="242">
        <v>12</v>
      </c>
      <c r="S83" s="242">
        <f>Q83*L83*R83/100000</f>
        <v>5.4</v>
      </c>
      <c r="T83" s="242"/>
      <c r="U83" s="242"/>
      <c r="V83" s="242">
        <f>T83*M83*U83</f>
        <v>0</v>
      </c>
      <c r="W83" s="38">
        <f>V83+S83+P83</f>
        <v>25.200000000000003</v>
      </c>
      <c r="X83" s="82" t="s">
        <v>651</v>
      </c>
      <c r="Y83" s="80"/>
    </row>
    <row r="84" spans="1:25" customFormat="1" ht="27" customHeight="1">
      <c r="A84" s="77"/>
      <c r="B84" s="78" t="s">
        <v>412</v>
      </c>
      <c r="C84" s="78"/>
      <c r="D84" s="8" t="s">
        <v>397</v>
      </c>
      <c r="E84" s="78"/>
      <c r="F84" s="78"/>
      <c r="G84" s="78"/>
      <c r="H84" s="78"/>
      <c r="I84" s="78"/>
      <c r="J84" s="78"/>
      <c r="K84" s="78"/>
      <c r="L84" s="78"/>
      <c r="M84" s="78"/>
      <c r="N84" s="107"/>
      <c r="O84" s="107"/>
      <c r="P84" s="107"/>
      <c r="Q84" s="107"/>
      <c r="R84" s="107"/>
      <c r="S84" s="107"/>
      <c r="T84" s="107"/>
      <c r="U84" s="107"/>
      <c r="V84" s="107"/>
      <c r="W84" s="107">
        <f>W85</f>
        <v>0</v>
      </c>
      <c r="X84" s="79"/>
      <c r="Y84" s="80"/>
    </row>
    <row r="85" spans="1:25" customFormat="1" ht="27" customHeight="1">
      <c r="A85" s="77"/>
      <c r="B85" s="81"/>
      <c r="C85" s="81"/>
      <c r="D85" s="83" t="s">
        <v>372</v>
      </c>
      <c r="E85" s="81"/>
      <c r="F85" s="81"/>
      <c r="G85" s="81"/>
      <c r="H85" s="81"/>
      <c r="I85" s="81"/>
      <c r="J85" s="81"/>
      <c r="K85" s="81"/>
      <c r="L85" s="81"/>
      <c r="M85" s="81"/>
      <c r="N85" s="108"/>
      <c r="O85" s="108"/>
      <c r="P85" s="243">
        <f t="shared" ref="P85" si="61">O85*H85*12</f>
        <v>0</v>
      </c>
      <c r="Q85" s="243"/>
      <c r="R85" s="243"/>
      <c r="S85" s="243">
        <f t="shared" ref="S85" si="62">Q85*L85*R85</f>
        <v>0</v>
      </c>
      <c r="T85" s="243"/>
      <c r="U85" s="243"/>
      <c r="V85" s="243">
        <f t="shared" ref="V85" si="63">T85*M85*U85</f>
        <v>0</v>
      </c>
      <c r="W85" s="60">
        <f t="shared" ref="W85" si="64">V85+S85+P85</f>
        <v>0</v>
      </c>
      <c r="X85" s="82"/>
      <c r="Y85" s="80"/>
    </row>
    <row r="86" spans="1:25" customFormat="1" ht="27" customHeight="1">
      <c r="A86" s="77"/>
      <c r="B86" s="78" t="s">
        <v>413</v>
      </c>
      <c r="C86" s="78"/>
      <c r="D86" s="8" t="s">
        <v>371</v>
      </c>
      <c r="E86" s="78"/>
      <c r="F86" s="78"/>
      <c r="G86" s="78"/>
      <c r="H86" s="78"/>
      <c r="I86" s="78"/>
      <c r="J86" s="78"/>
      <c r="K86" s="78"/>
      <c r="L86" s="78"/>
      <c r="M86" s="78"/>
      <c r="N86" s="107"/>
      <c r="O86" s="107"/>
      <c r="P86" s="107"/>
      <c r="Q86" s="107"/>
      <c r="R86" s="107"/>
      <c r="S86" s="107"/>
      <c r="T86" s="107"/>
      <c r="U86" s="107"/>
      <c r="V86" s="107"/>
      <c r="W86" s="107">
        <f>W87+W88+W89</f>
        <v>1520.721</v>
      </c>
      <c r="X86" s="79"/>
      <c r="Y86" s="80"/>
    </row>
    <row r="87" spans="1:25" customFormat="1" ht="26.45" customHeight="1">
      <c r="A87" s="77"/>
      <c r="B87" s="81"/>
      <c r="C87" s="81"/>
      <c r="D87" s="84" t="s">
        <v>391</v>
      </c>
      <c r="E87" s="81"/>
      <c r="F87" s="81"/>
      <c r="G87" s="80">
        <v>239</v>
      </c>
      <c r="H87" s="80">
        <v>221</v>
      </c>
      <c r="I87" s="80">
        <v>33975</v>
      </c>
      <c r="J87" s="80"/>
      <c r="K87" s="80"/>
      <c r="L87" s="15">
        <f>G87-H87</f>
        <v>18</v>
      </c>
      <c r="M87" s="80">
        <v>0</v>
      </c>
      <c r="N87" s="279">
        <v>0</v>
      </c>
      <c r="O87" s="279">
        <v>33975</v>
      </c>
      <c r="P87" s="242">
        <f>O87*H87*12/100000</f>
        <v>901.01700000000005</v>
      </c>
      <c r="Q87" s="242">
        <v>33975</v>
      </c>
      <c r="R87" s="242">
        <v>12</v>
      </c>
      <c r="S87" s="242">
        <f>Q87*L87*R87/100000</f>
        <v>73.385999999999996</v>
      </c>
      <c r="T87" s="242"/>
      <c r="U87" s="242"/>
      <c r="V87" s="242">
        <f>T87*M87*U87/100000</f>
        <v>0</v>
      </c>
      <c r="W87" s="38">
        <f>V87+S87+P87</f>
        <v>974.40300000000002</v>
      </c>
      <c r="X87" s="15" t="s">
        <v>651</v>
      </c>
      <c r="Y87" s="80"/>
    </row>
    <row r="88" spans="1:25" customFormat="1" ht="26.45" customHeight="1">
      <c r="A88" s="77"/>
      <c r="B88" s="81"/>
      <c r="C88" s="81"/>
      <c r="D88" s="84" t="s">
        <v>163</v>
      </c>
      <c r="E88" s="81"/>
      <c r="F88" s="81"/>
      <c r="G88" s="80">
        <v>134</v>
      </c>
      <c r="H88" s="80">
        <v>106</v>
      </c>
      <c r="I88" s="80">
        <v>33975</v>
      </c>
      <c r="J88" s="80"/>
      <c r="K88" s="80"/>
      <c r="L88" s="15">
        <f>G88-H88</f>
        <v>28</v>
      </c>
      <c r="M88" s="80">
        <v>0</v>
      </c>
      <c r="N88" s="279">
        <v>0</v>
      </c>
      <c r="O88" s="279">
        <v>33975</v>
      </c>
      <c r="P88" s="242">
        <f>O88*H88*12/100000</f>
        <v>432.16199999999998</v>
      </c>
      <c r="Q88" s="242">
        <v>33975</v>
      </c>
      <c r="R88" s="242">
        <v>12</v>
      </c>
      <c r="S88" s="242">
        <f>Q88*L88*R88/100000</f>
        <v>114.15600000000001</v>
      </c>
      <c r="T88" s="242"/>
      <c r="U88" s="242"/>
      <c r="V88" s="242">
        <f>T88*M88*U88</f>
        <v>0</v>
      </c>
      <c r="W88" s="38">
        <f>V88+S88+P88</f>
        <v>546.31799999999998</v>
      </c>
      <c r="X88" s="15" t="s">
        <v>651</v>
      </c>
      <c r="Y88" s="80"/>
    </row>
    <row r="89" spans="1:25" customFormat="1" ht="27" customHeight="1">
      <c r="A89" s="77"/>
      <c r="B89" s="81"/>
      <c r="C89" s="81"/>
      <c r="D89" s="83" t="s">
        <v>170</v>
      </c>
      <c r="E89" s="81"/>
      <c r="F89" s="81"/>
      <c r="G89" s="81"/>
      <c r="H89" s="81"/>
      <c r="I89" s="81"/>
      <c r="J89" s="81"/>
      <c r="K89" s="81"/>
      <c r="L89" s="81"/>
      <c r="M89" s="81"/>
      <c r="N89" s="108"/>
      <c r="O89" s="108"/>
      <c r="P89" s="243">
        <f t="shared" ref="P89" si="65">O89*H89*12</f>
        <v>0</v>
      </c>
      <c r="Q89" s="243"/>
      <c r="R89" s="243"/>
      <c r="S89" s="243">
        <f t="shared" ref="S89" si="66">Q89*L89*R89</f>
        <v>0</v>
      </c>
      <c r="T89" s="243"/>
      <c r="U89" s="243"/>
      <c r="V89" s="243">
        <f t="shared" ref="V89" si="67">T89*M89*U89</f>
        <v>0</v>
      </c>
      <c r="W89" s="60">
        <f t="shared" ref="W89" si="68">V89+S89+P89</f>
        <v>0</v>
      </c>
      <c r="X89" s="82"/>
      <c r="Y89" s="80"/>
    </row>
  </sheetData>
  <mergeCells count="2">
    <mergeCell ref="B24:U24"/>
    <mergeCell ref="B2:U2"/>
  </mergeCells>
  <printOptions horizontalCentered="1"/>
  <pageMargins left="0.27559055118110237" right="0.27559055118110237" top="0.27559055118110237" bottom="0.27559055118110237" header="0.31496062992125984" footer="0.31496062992125984"/>
  <pageSetup paperSize="5" scale="60" orientation="landscape" r:id="rId1"/>
  <headerFooter>
    <oddFooter>Page &amp;P of &amp;N</oddFooter>
  </headerFooter>
</worksheet>
</file>

<file path=xl/worksheets/sheet3.xml><?xml version="1.0" encoding="utf-8"?>
<worksheet xmlns="http://schemas.openxmlformats.org/spreadsheetml/2006/main" xmlns:r="http://schemas.openxmlformats.org/officeDocument/2006/relationships">
  <dimension ref="A1:C20"/>
  <sheetViews>
    <sheetView topLeftCell="A6" workbookViewId="0">
      <selection activeCell="F11" sqref="F11"/>
    </sheetView>
  </sheetViews>
  <sheetFormatPr defaultRowHeight="27" customHeight="1"/>
  <cols>
    <col min="1" max="1" width="9.7109375" customWidth="1"/>
    <col min="2" max="2" width="34.28515625" customWidth="1"/>
    <col min="3" max="3" width="19.28515625" customWidth="1"/>
  </cols>
  <sheetData>
    <row r="1" spans="1:3" ht="27" customHeight="1">
      <c r="A1" s="129" t="s">
        <v>275</v>
      </c>
      <c r="B1" s="6" t="s">
        <v>276</v>
      </c>
      <c r="C1" s="6" t="s">
        <v>277</v>
      </c>
    </row>
    <row r="2" spans="1:3" ht="27" customHeight="1">
      <c r="A2" s="207">
        <v>1</v>
      </c>
      <c r="B2" s="11" t="s">
        <v>620</v>
      </c>
      <c r="C2" s="208">
        <f>'Budget Sheet'!P2</f>
        <v>3338.88</v>
      </c>
    </row>
    <row r="3" spans="1:3" ht="27" customHeight="1">
      <c r="A3" s="207">
        <v>2</v>
      </c>
      <c r="B3" s="11" t="s">
        <v>15</v>
      </c>
      <c r="C3" s="208">
        <f>'Budget Sheet'!P11</f>
        <v>36.049999999999997</v>
      </c>
    </row>
    <row r="4" spans="1:3" ht="27" customHeight="1">
      <c r="A4" s="207">
        <v>3</v>
      </c>
      <c r="B4" s="11" t="s">
        <v>16</v>
      </c>
      <c r="C4" s="208">
        <f>'Budget Sheet'!P15</f>
        <v>534.60400000000004</v>
      </c>
    </row>
    <row r="5" spans="1:3" ht="27" customHeight="1">
      <c r="A5" s="207">
        <v>5</v>
      </c>
      <c r="B5" s="11" t="s">
        <v>19</v>
      </c>
      <c r="C5" s="208">
        <f>'Budget Sheet'!P34</f>
        <v>17.05</v>
      </c>
    </row>
    <row r="6" spans="1:3" ht="27" customHeight="1">
      <c r="A6" s="207">
        <v>6</v>
      </c>
      <c r="B6" s="11" t="s">
        <v>34</v>
      </c>
      <c r="C6" s="208">
        <f>'Budget Sheet'!P84</f>
        <v>2836.29</v>
      </c>
    </row>
    <row r="7" spans="1:3" ht="27" customHeight="1">
      <c r="A7" s="207">
        <v>7</v>
      </c>
      <c r="B7" s="11" t="s">
        <v>193</v>
      </c>
      <c r="C7" s="208">
        <f>'Budget Sheet'!P185</f>
        <v>39.5</v>
      </c>
    </row>
    <row r="8" spans="1:3" ht="27" customHeight="1">
      <c r="A8" s="207">
        <v>8</v>
      </c>
      <c r="B8" s="11" t="s">
        <v>82</v>
      </c>
      <c r="C8" s="208">
        <f>'Budget Sheet'!P191</f>
        <v>1377.4398000000001</v>
      </c>
    </row>
    <row r="9" spans="1:3" ht="27" customHeight="1">
      <c r="A9" s="207">
        <v>9</v>
      </c>
      <c r="B9" s="11" t="s">
        <v>96</v>
      </c>
      <c r="C9" s="208">
        <f>'Budget Sheet'!P193</f>
        <v>10.5</v>
      </c>
    </row>
    <row r="10" spans="1:3" ht="27" customHeight="1">
      <c r="A10" s="207">
        <v>10</v>
      </c>
      <c r="B10" s="11" t="s">
        <v>106</v>
      </c>
      <c r="C10" s="208">
        <f>'Budget Sheet'!P208</f>
        <v>11</v>
      </c>
    </row>
    <row r="11" spans="1:3" ht="27" customHeight="1">
      <c r="A11" s="207">
        <v>11</v>
      </c>
      <c r="B11" s="11" t="s">
        <v>116</v>
      </c>
      <c r="C11" s="208">
        <f>'Budget Sheet'!P223</f>
        <v>15.3</v>
      </c>
    </row>
    <row r="12" spans="1:3" ht="27" customHeight="1">
      <c r="A12" s="207">
        <v>12</v>
      </c>
      <c r="B12" s="11" t="s">
        <v>119</v>
      </c>
      <c r="C12" s="208">
        <f>'Budget Sheet'!P233</f>
        <v>21</v>
      </c>
    </row>
    <row r="13" spans="1:3" ht="27" customHeight="1">
      <c r="A13" s="207">
        <v>13</v>
      </c>
      <c r="B13" s="11" t="s">
        <v>124</v>
      </c>
      <c r="C13" s="207">
        <f>0</f>
        <v>0</v>
      </c>
    </row>
    <row r="14" spans="1:3" ht="27" customHeight="1">
      <c r="A14" s="207">
        <v>14</v>
      </c>
      <c r="B14" s="11" t="s">
        <v>125</v>
      </c>
      <c r="C14" s="208">
        <f>'Budget Sheet'!P243</f>
        <v>32.794280000000001</v>
      </c>
    </row>
    <row r="15" spans="1:3" ht="27" customHeight="1">
      <c r="A15" s="207">
        <v>15</v>
      </c>
      <c r="B15" s="11" t="s">
        <v>137</v>
      </c>
      <c r="C15" s="208">
        <f>'Budget Sheet'!P261</f>
        <v>440</v>
      </c>
    </row>
    <row r="16" spans="1:3" ht="27" customHeight="1">
      <c r="A16" s="207">
        <v>16</v>
      </c>
      <c r="B16" s="11" t="s">
        <v>141</v>
      </c>
      <c r="C16" s="208">
        <f>'Budget Sheet'!P270</f>
        <v>338.22</v>
      </c>
    </row>
    <row r="17" spans="1:3" ht="27" customHeight="1">
      <c r="A17" s="207">
        <v>18</v>
      </c>
      <c r="B17" s="11" t="s">
        <v>618</v>
      </c>
      <c r="C17" s="208">
        <f>'Budget Sheet'!P353</f>
        <v>0</v>
      </c>
    </row>
    <row r="18" spans="1:3" ht="27" customHeight="1">
      <c r="A18" s="209"/>
      <c r="B18" s="11" t="s">
        <v>621</v>
      </c>
      <c r="C18" s="208">
        <f>'Budget Sheet'!P355</f>
        <v>0</v>
      </c>
    </row>
    <row r="19" spans="1:3" ht="27" customHeight="1">
      <c r="A19" s="209"/>
      <c r="B19" s="11" t="s">
        <v>622</v>
      </c>
      <c r="C19" s="208">
        <f>'Budget Sheet'!P357</f>
        <v>0</v>
      </c>
    </row>
    <row r="20" spans="1:3" s="211" customFormat="1" ht="27" customHeight="1">
      <c r="A20" s="129"/>
      <c r="B20" s="129" t="s">
        <v>18</v>
      </c>
      <c r="C20" s="210">
        <f>SUM(C2:C19)</f>
        <v>9048.6280799999986</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I30"/>
  <sheetViews>
    <sheetView topLeftCell="A7" workbookViewId="0">
      <selection activeCell="K11" sqref="K11"/>
    </sheetView>
  </sheetViews>
  <sheetFormatPr defaultColWidth="9.140625" defaultRowHeight="15"/>
  <cols>
    <col min="1" max="2" width="9.140625" style="280"/>
    <col min="3" max="3" width="28.7109375" style="280" customWidth="1"/>
    <col min="4" max="6" width="11.85546875" style="280" customWidth="1"/>
    <col min="7" max="7" width="14.85546875" style="280" customWidth="1"/>
    <col min="8" max="8" width="11.85546875" style="280" customWidth="1"/>
    <col min="9" max="9" width="15.140625" style="280" customWidth="1"/>
    <col min="10" max="258" width="9.140625" style="280"/>
    <col min="259" max="259" width="28.7109375" style="280" customWidth="1"/>
    <col min="260" max="262" width="11.85546875" style="280" customWidth="1"/>
    <col min="263" max="263" width="14.85546875" style="280" customWidth="1"/>
    <col min="264" max="264" width="11.85546875" style="280" customWidth="1"/>
    <col min="265" max="265" width="15.140625" style="280" customWidth="1"/>
    <col min="266" max="514" width="9.140625" style="280"/>
    <col min="515" max="515" width="28.7109375" style="280" customWidth="1"/>
    <col min="516" max="518" width="11.85546875" style="280" customWidth="1"/>
    <col min="519" max="519" width="14.85546875" style="280" customWidth="1"/>
    <col min="520" max="520" width="11.85546875" style="280" customWidth="1"/>
    <col min="521" max="521" width="15.140625" style="280" customWidth="1"/>
    <col min="522" max="770" width="9.140625" style="280"/>
    <col min="771" max="771" width="28.7109375" style="280" customWidth="1"/>
    <col min="772" max="774" width="11.85546875" style="280" customWidth="1"/>
    <col min="775" max="775" width="14.85546875" style="280" customWidth="1"/>
    <col min="776" max="776" width="11.85546875" style="280" customWidth="1"/>
    <col min="777" max="777" width="15.140625" style="280" customWidth="1"/>
    <col min="778" max="1026" width="9.140625" style="280"/>
    <col min="1027" max="1027" width="28.7109375" style="280" customWidth="1"/>
    <col min="1028" max="1030" width="11.85546875" style="280" customWidth="1"/>
    <col min="1031" max="1031" width="14.85546875" style="280" customWidth="1"/>
    <col min="1032" max="1032" width="11.85546875" style="280" customWidth="1"/>
    <col min="1033" max="1033" width="15.140625" style="280" customWidth="1"/>
    <col min="1034" max="1282" width="9.140625" style="280"/>
    <col min="1283" max="1283" width="28.7109375" style="280" customWidth="1"/>
    <col min="1284" max="1286" width="11.85546875" style="280" customWidth="1"/>
    <col min="1287" max="1287" width="14.85546875" style="280" customWidth="1"/>
    <col min="1288" max="1288" width="11.85546875" style="280" customWidth="1"/>
    <col min="1289" max="1289" width="15.140625" style="280" customWidth="1"/>
    <col min="1290" max="1538" width="9.140625" style="280"/>
    <col min="1539" max="1539" width="28.7109375" style="280" customWidth="1"/>
    <col min="1540" max="1542" width="11.85546875" style="280" customWidth="1"/>
    <col min="1543" max="1543" width="14.85546875" style="280" customWidth="1"/>
    <col min="1544" max="1544" width="11.85546875" style="280" customWidth="1"/>
    <col min="1545" max="1545" width="15.140625" style="280" customWidth="1"/>
    <col min="1546" max="1794" width="9.140625" style="280"/>
    <col min="1795" max="1795" width="28.7109375" style="280" customWidth="1"/>
    <col min="1796" max="1798" width="11.85546875" style="280" customWidth="1"/>
    <col min="1799" max="1799" width="14.85546875" style="280" customWidth="1"/>
    <col min="1800" max="1800" width="11.85546875" style="280" customWidth="1"/>
    <col min="1801" max="1801" width="15.140625" style="280" customWidth="1"/>
    <col min="1802" max="2050" width="9.140625" style="280"/>
    <col min="2051" max="2051" width="28.7109375" style="280" customWidth="1"/>
    <col min="2052" max="2054" width="11.85546875" style="280" customWidth="1"/>
    <col min="2055" max="2055" width="14.85546875" style="280" customWidth="1"/>
    <col min="2056" max="2056" width="11.85546875" style="280" customWidth="1"/>
    <col min="2057" max="2057" width="15.140625" style="280" customWidth="1"/>
    <col min="2058" max="2306" width="9.140625" style="280"/>
    <col min="2307" max="2307" width="28.7109375" style="280" customWidth="1"/>
    <col min="2308" max="2310" width="11.85546875" style="280" customWidth="1"/>
    <col min="2311" max="2311" width="14.85546875" style="280" customWidth="1"/>
    <col min="2312" max="2312" width="11.85546875" style="280" customWidth="1"/>
    <col min="2313" max="2313" width="15.140625" style="280" customWidth="1"/>
    <col min="2314" max="2562" width="9.140625" style="280"/>
    <col min="2563" max="2563" width="28.7109375" style="280" customWidth="1"/>
    <col min="2564" max="2566" width="11.85546875" style="280" customWidth="1"/>
    <col min="2567" max="2567" width="14.85546875" style="280" customWidth="1"/>
    <col min="2568" max="2568" width="11.85546875" style="280" customWidth="1"/>
    <col min="2569" max="2569" width="15.140625" style="280" customWidth="1"/>
    <col min="2570" max="2818" width="9.140625" style="280"/>
    <col min="2819" max="2819" width="28.7109375" style="280" customWidth="1"/>
    <col min="2820" max="2822" width="11.85546875" style="280" customWidth="1"/>
    <col min="2823" max="2823" width="14.85546875" style="280" customWidth="1"/>
    <col min="2824" max="2824" width="11.85546875" style="280" customWidth="1"/>
    <col min="2825" max="2825" width="15.140625" style="280" customWidth="1"/>
    <col min="2826" max="3074" width="9.140625" style="280"/>
    <col min="3075" max="3075" width="28.7109375" style="280" customWidth="1"/>
    <col min="3076" max="3078" width="11.85546875" style="280" customWidth="1"/>
    <col min="3079" max="3079" width="14.85546875" style="280" customWidth="1"/>
    <col min="3080" max="3080" width="11.85546875" style="280" customWidth="1"/>
    <col min="3081" max="3081" width="15.140625" style="280" customWidth="1"/>
    <col min="3082" max="3330" width="9.140625" style="280"/>
    <col min="3331" max="3331" width="28.7109375" style="280" customWidth="1"/>
    <col min="3332" max="3334" width="11.85546875" style="280" customWidth="1"/>
    <col min="3335" max="3335" width="14.85546875" style="280" customWidth="1"/>
    <col min="3336" max="3336" width="11.85546875" style="280" customWidth="1"/>
    <col min="3337" max="3337" width="15.140625" style="280" customWidth="1"/>
    <col min="3338" max="3586" width="9.140625" style="280"/>
    <col min="3587" max="3587" width="28.7109375" style="280" customWidth="1"/>
    <col min="3588" max="3590" width="11.85546875" style="280" customWidth="1"/>
    <col min="3591" max="3591" width="14.85546875" style="280" customWidth="1"/>
    <col min="3592" max="3592" width="11.85546875" style="280" customWidth="1"/>
    <col min="3593" max="3593" width="15.140625" style="280" customWidth="1"/>
    <col min="3594" max="3842" width="9.140625" style="280"/>
    <col min="3843" max="3843" width="28.7109375" style="280" customWidth="1"/>
    <col min="3844" max="3846" width="11.85546875" style="280" customWidth="1"/>
    <col min="3847" max="3847" width="14.85546875" style="280" customWidth="1"/>
    <col min="3848" max="3848" width="11.85546875" style="280" customWidth="1"/>
    <col min="3849" max="3849" width="15.140625" style="280" customWidth="1"/>
    <col min="3850" max="4098" width="9.140625" style="280"/>
    <col min="4099" max="4099" width="28.7109375" style="280" customWidth="1"/>
    <col min="4100" max="4102" width="11.85546875" style="280" customWidth="1"/>
    <col min="4103" max="4103" width="14.85546875" style="280" customWidth="1"/>
    <col min="4104" max="4104" width="11.85546875" style="280" customWidth="1"/>
    <col min="4105" max="4105" width="15.140625" style="280" customWidth="1"/>
    <col min="4106" max="4354" width="9.140625" style="280"/>
    <col min="4355" max="4355" width="28.7109375" style="280" customWidth="1"/>
    <col min="4356" max="4358" width="11.85546875" style="280" customWidth="1"/>
    <col min="4359" max="4359" width="14.85546875" style="280" customWidth="1"/>
    <col min="4360" max="4360" width="11.85546875" style="280" customWidth="1"/>
    <col min="4361" max="4361" width="15.140625" style="280" customWidth="1"/>
    <col min="4362" max="4610" width="9.140625" style="280"/>
    <col min="4611" max="4611" width="28.7109375" style="280" customWidth="1"/>
    <col min="4612" max="4614" width="11.85546875" style="280" customWidth="1"/>
    <col min="4615" max="4615" width="14.85546875" style="280" customWidth="1"/>
    <col min="4616" max="4616" width="11.85546875" style="280" customWidth="1"/>
    <col min="4617" max="4617" width="15.140625" style="280" customWidth="1"/>
    <col min="4618" max="4866" width="9.140625" style="280"/>
    <col min="4867" max="4867" width="28.7109375" style="280" customWidth="1"/>
    <col min="4868" max="4870" width="11.85546875" style="280" customWidth="1"/>
    <col min="4871" max="4871" width="14.85546875" style="280" customWidth="1"/>
    <col min="4872" max="4872" width="11.85546875" style="280" customWidth="1"/>
    <col min="4873" max="4873" width="15.140625" style="280" customWidth="1"/>
    <col min="4874" max="5122" width="9.140625" style="280"/>
    <col min="5123" max="5123" width="28.7109375" style="280" customWidth="1"/>
    <col min="5124" max="5126" width="11.85546875" style="280" customWidth="1"/>
    <col min="5127" max="5127" width="14.85546875" style="280" customWidth="1"/>
    <col min="5128" max="5128" width="11.85546875" style="280" customWidth="1"/>
    <col min="5129" max="5129" width="15.140625" style="280" customWidth="1"/>
    <col min="5130" max="5378" width="9.140625" style="280"/>
    <col min="5379" max="5379" width="28.7109375" style="280" customWidth="1"/>
    <col min="5380" max="5382" width="11.85546875" style="280" customWidth="1"/>
    <col min="5383" max="5383" width="14.85546875" style="280" customWidth="1"/>
    <col min="5384" max="5384" width="11.85546875" style="280" customWidth="1"/>
    <col min="5385" max="5385" width="15.140625" style="280" customWidth="1"/>
    <col min="5386" max="5634" width="9.140625" style="280"/>
    <col min="5635" max="5635" width="28.7109375" style="280" customWidth="1"/>
    <col min="5636" max="5638" width="11.85546875" style="280" customWidth="1"/>
    <col min="5639" max="5639" width="14.85546875" style="280" customWidth="1"/>
    <col min="5640" max="5640" width="11.85546875" style="280" customWidth="1"/>
    <col min="5641" max="5641" width="15.140625" style="280" customWidth="1"/>
    <col min="5642" max="5890" width="9.140625" style="280"/>
    <col min="5891" max="5891" width="28.7109375" style="280" customWidth="1"/>
    <col min="5892" max="5894" width="11.85546875" style="280" customWidth="1"/>
    <col min="5895" max="5895" width="14.85546875" style="280" customWidth="1"/>
    <col min="5896" max="5896" width="11.85546875" style="280" customWidth="1"/>
    <col min="5897" max="5897" width="15.140625" style="280" customWidth="1"/>
    <col min="5898" max="6146" width="9.140625" style="280"/>
    <col min="6147" max="6147" width="28.7109375" style="280" customWidth="1"/>
    <col min="6148" max="6150" width="11.85546875" style="280" customWidth="1"/>
    <col min="6151" max="6151" width="14.85546875" style="280" customWidth="1"/>
    <col min="6152" max="6152" width="11.85546875" style="280" customWidth="1"/>
    <col min="6153" max="6153" width="15.140625" style="280" customWidth="1"/>
    <col min="6154" max="6402" width="9.140625" style="280"/>
    <col min="6403" max="6403" width="28.7109375" style="280" customWidth="1"/>
    <col min="6404" max="6406" width="11.85546875" style="280" customWidth="1"/>
    <col min="6407" max="6407" width="14.85546875" style="280" customWidth="1"/>
    <col min="6408" max="6408" width="11.85546875" style="280" customWidth="1"/>
    <col min="6409" max="6409" width="15.140625" style="280" customWidth="1"/>
    <col min="6410" max="6658" width="9.140625" style="280"/>
    <col min="6659" max="6659" width="28.7109375" style="280" customWidth="1"/>
    <col min="6660" max="6662" width="11.85546875" style="280" customWidth="1"/>
    <col min="6663" max="6663" width="14.85546875" style="280" customWidth="1"/>
    <col min="6664" max="6664" width="11.85546875" style="280" customWidth="1"/>
    <col min="6665" max="6665" width="15.140625" style="280" customWidth="1"/>
    <col min="6666" max="6914" width="9.140625" style="280"/>
    <col min="6915" max="6915" width="28.7109375" style="280" customWidth="1"/>
    <col min="6916" max="6918" width="11.85546875" style="280" customWidth="1"/>
    <col min="6919" max="6919" width="14.85546875" style="280" customWidth="1"/>
    <col min="6920" max="6920" width="11.85546875" style="280" customWidth="1"/>
    <col min="6921" max="6921" width="15.140625" style="280" customWidth="1"/>
    <col min="6922" max="7170" width="9.140625" style="280"/>
    <col min="7171" max="7171" width="28.7109375" style="280" customWidth="1"/>
    <col min="7172" max="7174" width="11.85546875" style="280" customWidth="1"/>
    <col min="7175" max="7175" width="14.85546875" style="280" customWidth="1"/>
    <col min="7176" max="7176" width="11.85546875" style="280" customWidth="1"/>
    <col min="7177" max="7177" width="15.140625" style="280" customWidth="1"/>
    <col min="7178" max="7426" width="9.140625" style="280"/>
    <col min="7427" max="7427" width="28.7109375" style="280" customWidth="1"/>
    <col min="7428" max="7430" width="11.85546875" style="280" customWidth="1"/>
    <col min="7431" max="7431" width="14.85546875" style="280" customWidth="1"/>
    <col min="7432" max="7432" width="11.85546875" style="280" customWidth="1"/>
    <col min="7433" max="7433" width="15.140625" style="280" customWidth="1"/>
    <col min="7434" max="7682" width="9.140625" style="280"/>
    <col min="7683" max="7683" width="28.7109375" style="280" customWidth="1"/>
    <col min="7684" max="7686" width="11.85546875" style="280" customWidth="1"/>
    <col min="7687" max="7687" width="14.85546875" style="280" customWidth="1"/>
    <col min="7688" max="7688" width="11.85546875" style="280" customWidth="1"/>
    <col min="7689" max="7689" width="15.140625" style="280" customWidth="1"/>
    <col min="7690" max="7938" width="9.140625" style="280"/>
    <col min="7939" max="7939" width="28.7109375" style="280" customWidth="1"/>
    <col min="7940" max="7942" width="11.85546875" style="280" customWidth="1"/>
    <col min="7943" max="7943" width="14.85546875" style="280" customWidth="1"/>
    <col min="7944" max="7944" width="11.85546875" style="280" customWidth="1"/>
    <col min="7945" max="7945" width="15.140625" style="280" customWidth="1"/>
    <col min="7946" max="8194" width="9.140625" style="280"/>
    <col min="8195" max="8195" width="28.7109375" style="280" customWidth="1"/>
    <col min="8196" max="8198" width="11.85546875" style="280" customWidth="1"/>
    <col min="8199" max="8199" width="14.85546875" style="280" customWidth="1"/>
    <col min="8200" max="8200" width="11.85546875" style="280" customWidth="1"/>
    <col min="8201" max="8201" width="15.140625" style="280" customWidth="1"/>
    <col min="8202" max="8450" width="9.140625" style="280"/>
    <col min="8451" max="8451" width="28.7109375" style="280" customWidth="1"/>
    <col min="8452" max="8454" width="11.85546875" style="280" customWidth="1"/>
    <col min="8455" max="8455" width="14.85546875" style="280" customWidth="1"/>
    <col min="8456" max="8456" width="11.85546875" style="280" customWidth="1"/>
    <col min="8457" max="8457" width="15.140625" style="280" customWidth="1"/>
    <col min="8458" max="8706" width="9.140625" style="280"/>
    <col min="8707" max="8707" width="28.7109375" style="280" customWidth="1"/>
    <col min="8708" max="8710" width="11.85546875" style="280" customWidth="1"/>
    <col min="8711" max="8711" width="14.85546875" style="280" customWidth="1"/>
    <col min="8712" max="8712" width="11.85546875" style="280" customWidth="1"/>
    <col min="8713" max="8713" width="15.140625" style="280" customWidth="1"/>
    <col min="8714" max="8962" width="9.140625" style="280"/>
    <col min="8963" max="8963" width="28.7109375" style="280" customWidth="1"/>
    <col min="8964" max="8966" width="11.85546875" style="280" customWidth="1"/>
    <col min="8967" max="8967" width="14.85546875" style="280" customWidth="1"/>
    <col min="8968" max="8968" width="11.85546875" style="280" customWidth="1"/>
    <col min="8969" max="8969" width="15.140625" style="280" customWidth="1"/>
    <col min="8970" max="9218" width="9.140625" style="280"/>
    <col min="9219" max="9219" width="28.7109375" style="280" customWidth="1"/>
    <col min="9220" max="9222" width="11.85546875" style="280" customWidth="1"/>
    <col min="9223" max="9223" width="14.85546875" style="280" customWidth="1"/>
    <col min="9224" max="9224" width="11.85546875" style="280" customWidth="1"/>
    <col min="9225" max="9225" width="15.140625" style="280" customWidth="1"/>
    <col min="9226" max="9474" width="9.140625" style="280"/>
    <col min="9475" max="9475" width="28.7109375" style="280" customWidth="1"/>
    <col min="9476" max="9478" width="11.85546875" style="280" customWidth="1"/>
    <col min="9479" max="9479" width="14.85546875" style="280" customWidth="1"/>
    <col min="9480" max="9480" width="11.85546875" style="280" customWidth="1"/>
    <col min="9481" max="9481" width="15.140625" style="280" customWidth="1"/>
    <col min="9482" max="9730" width="9.140625" style="280"/>
    <col min="9731" max="9731" width="28.7109375" style="280" customWidth="1"/>
    <col min="9732" max="9734" width="11.85546875" style="280" customWidth="1"/>
    <col min="9735" max="9735" width="14.85546875" style="280" customWidth="1"/>
    <col min="9736" max="9736" width="11.85546875" style="280" customWidth="1"/>
    <col min="9737" max="9737" width="15.140625" style="280" customWidth="1"/>
    <col min="9738" max="9986" width="9.140625" style="280"/>
    <col min="9987" max="9987" width="28.7109375" style="280" customWidth="1"/>
    <col min="9988" max="9990" width="11.85546875" style="280" customWidth="1"/>
    <col min="9991" max="9991" width="14.85546875" style="280" customWidth="1"/>
    <col min="9992" max="9992" width="11.85546875" style="280" customWidth="1"/>
    <col min="9993" max="9993" width="15.140625" style="280" customWidth="1"/>
    <col min="9994" max="10242" width="9.140625" style="280"/>
    <col min="10243" max="10243" width="28.7109375" style="280" customWidth="1"/>
    <col min="10244" max="10246" width="11.85546875" style="280" customWidth="1"/>
    <col min="10247" max="10247" width="14.85546875" style="280" customWidth="1"/>
    <col min="10248" max="10248" width="11.85546875" style="280" customWidth="1"/>
    <col min="10249" max="10249" width="15.140625" style="280" customWidth="1"/>
    <col min="10250" max="10498" width="9.140625" style="280"/>
    <col min="10499" max="10499" width="28.7109375" style="280" customWidth="1"/>
    <col min="10500" max="10502" width="11.85546875" style="280" customWidth="1"/>
    <col min="10503" max="10503" width="14.85546875" style="280" customWidth="1"/>
    <col min="10504" max="10504" width="11.85546875" style="280" customWidth="1"/>
    <col min="10505" max="10505" width="15.140625" style="280" customWidth="1"/>
    <col min="10506" max="10754" width="9.140625" style="280"/>
    <col min="10755" max="10755" width="28.7109375" style="280" customWidth="1"/>
    <col min="10756" max="10758" width="11.85546875" style="280" customWidth="1"/>
    <col min="10759" max="10759" width="14.85546875" style="280" customWidth="1"/>
    <col min="10760" max="10760" width="11.85546875" style="280" customWidth="1"/>
    <col min="10761" max="10761" width="15.140625" style="280" customWidth="1"/>
    <col min="10762" max="11010" width="9.140625" style="280"/>
    <col min="11011" max="11011" width="28.7109375" style="280" customWidth="1"/>
    <col min="11012" max="11014" width="11.85546875" style="280" customWidth="1"/>
    <col min="11015" max="11015" width="14.85546875" style="280" customWidth="1"/>
    <col min="11016" max="11016" width="11.85546875" style="280" customWidth="1"/>
    <col min="11017" max="11017" width="15.140625" style="280" customWidth="1"/>
    <col min="11018" max="11266" width="9.140625" style="280"/>
    <col min="11267" max="11267" width="28.7109375" style="280" customWidth="1"/>
    <col min="11268" max="11270" width="11.85546875" style="280" customWidth="1"/>
    <col min="11271" max="11271" width="14.85546875" style="280" customWidth="1"/>
    <col min="11272" max="11272" width="11.85546875" style="280" customWidth="1"/>
    <col min="11273" max="11273" width="15.140625" style="280" customWidth="1"/>
    <col min="11274" max="11522" width="9.140625" style="280"/>
    <col min="11523" max="11523" width="28.7109375" style="280" customWidth="1"/>
    <col min="11524" max="11526" width="11.85546875" style="280" customWidth="1"/>
    <col min="11527" max="11527" width="14.85546875" style="280" customWidth="1"/>
    <col min="11528" max="11528" width="11.85546875" style="280" customWidth="1"/>
    <col min="11529" max="11529" width="15.140625" style="280" customWidth="1"/>
    <col min="11530" max="11778" width="9.140625" style="280"/>
    <col min="11779" max="11779" width="28.7109375" style="280" customWidth="1"/>
    <col min="11780" max="11782" width="11.85546875" style="280" customWidth="1"/>
    <col min="11783" max="11783" width="14.85546875" style="280" customWidth="1"/>
    <col min="11784" max="11784" width="11.85546875" style="280" customWidth="1"/>
    <col min="11785" max="11785" width="15.140625" style="280" customWidth="1"/>
    <col min="11786" max="12034" width="9.140625" style="280"/>
    <col min="12035" max="12035" width="28.7109375" style="280" customWidth="1"/>
    <col min="12036" max="12038" width="11.85546875" style="280" customWidth="1"/>
    <col min="12039" max="12039" width="14.85546875" style="280" customWidth="1"/>
    <col min="12040" max="12040" width="11.85546875" style="280" customWidth="1"/>
    <col min="12041" max="12041" width="15.140625" style="280" customWidth="1"/>
    <col min="12042" max="12290" width="9.140625" style="280"/>
    <col min="12291" max="12291" width="28.7109375" style="280" customWidth="1"/>
    <col min="12292" max="12294" width="11.85546875" style="280" customWidth="1"/>
    <col min="12295" max="12295" width="14.85546875" style="280" customWidth="1"/>
    <col min="12296" max="12296" width="11.85546875" style="280" customWidth="1"/>
    <col min="12297" max="12297" width="15.140625" style="280" customWidth="1"/>
    <col min="12298" max="12546" width="9.140625" style="280"/>
    <col min="12547" max="12547" width="28.7109375" style="280" customWidth="1"/>
    <col min="12548" max="12550" width="11.85546875" style="280" customWidth="1"/>
    <col min="12551" max="12551" width="14.85546875" style="280" customWidth="1"/>
    <col min="12552" max="12552" width="11.85546875" style="280" customWidth="1"/>
    <col min="12553" max="12553" width="15.140625" style="280" customWidth="1"/>
    <col min="12554" max="12802" width="9.140625" style="280"/>
    <col min="12803" max="12803" width="28.7109375" style="280" customWidth="1"/>
    <col min="12804" max="12806" width="11.85546875" style="280" customWidth="1"/>
    <col min="12807" max="12807" width="14.85546875" style="280" customWidth="1"/>
    <col min="12808" max="12808" width="11.85546875" style="280" customWidth="1"/>
    <col min="12809" max="12809" width="15.140625" style="280" customWidth="1"/>
    <col min="12810" max="13058" width="9.140625" style="280"/>
    <col min="13059" max="13059" width="28.7109375" style="280" customWidth="1"/>
    <col min="13060" max="13062" width="11.85546875" style="280" customWidth="1"/>
    <col min="13063" max="13063" width="14.85546875" style="280" customWidth="1"/>
    <col min="13064" max="13064" width="11.85546875" style="280" customWidth="1"/>
    <col min="13065" max="13065" width="15.140625" style="280" customWidth="1"/>
    <col min="13066" max="13314" width="9.140625" style="280"/>
    <col min="13315" max="13315" width="28.7109375" style="280" customWidth="1"/>
    <col min="13316" max="13318" width="11.85546875" style="280" customWidth="1"/>
    <col min="13319" max="13319" width="14.85546875" style="280" customWidth="1"/>
    <col min="13320" max="13320" width="11.85546875" style="280" customWidth="1"/>
    <col min="13321" max="13321" width="15.140625" style="280" customWidth="1"/>
    <col min="13322" max="13570" width="9.140625" style="280"/>
    <col min="13571" max="13571" width="28.7109375" style="280" customWidth="1"/>
    <col min="13572" max="13574" width="11.85546875" style="280" customWidth="1"/>
    <col min="13575" max="13575" width="14.85546875" style="280" customWidth="1"/>
    <col min="13576" max="13576" width="11.85546875" style="280" customWidth="1"/>
    <col min="13577" max="13577" width="15.140625" style="280" customWidth="1"/>
    <col min="13578" max="13826" width="9.140625" style="280"/>
    <col min="13827" max="13827" width="28.7109375" style="280" customWidth="1"/>
    <col min="13828" max="13830" width="11.85546875" style="280" customWidth="1"/>
    <col min="13831" max="13831" width="14.85546875" style="280" customWidth="1"/>
    <col min="13832" max="13832" width="11.85546875" style="280" customWidth="1"/>
    <col min="13833" max="13833" width="15.140625" style="280" customWidth="1"/>
    <col min="13834" max="14082" width="9.140625" style="280"/>
    <col min="14083" max="14083" width="28.7109375" style="280" customWidth="1"/>
    <col min="14084" max="14086" width="11.85546875" style="280" customWidth="1"/>
    <col min="14087" max="14087" width="14.85546875" style="280" customWidth="1"/>
    <col min="14088" max="14088" width="11.85546875" style="280" customWidth="1"/>
    <col min="14089" max="14089" width="15.140625" style="280" customWidth="1"/>
    <col min="14090" max="14338" width="9.140625" style="280"/>
    <col min="14339" max="14339" width="28.7109375" style="280" customWidth="1"/>
    <col min="14340" max="14342" width="11.85546875" style="280" customWidth="1"/>
    <col min="14343" max="14343" width="14.85546875" style="280" customWidth="1"/>
    <col min="14344" max="14344" width="11.85546875" style="280" customWidth="1"/>
    <col min="14345" max="14345" width="15.140625" style="280" customWidth="1"/>
    <col min="14346" max="14594" width="9.140625" style="280"/>
    <col min="14595" max="14595" width="28.7109375" style="280" customWidth="1"/>
    <col min="14596" max="14598" width="11.85546875" style="280" customWidth="1"/>
    <col min="14599" max="14599" width="14.85546875" style="280" customWidth="1"/>
    <col min="14600" max="14600" width="11.85546875" style="280" customWidth="1"/>
    <col min="14601" max="14601" width="15.140625" style="280" customWidth="1"/>
    <col min="14602" max="14850" width="9.140625" style="280"/>
    <col min="14851" max="14851" width="28.7109375" style="280" customWidth="1"/>
    <col min="14852" max="14854" width="11.85546875" style="280" customWidth="1"/>
    <col min="14855" max="14855" width="14.85546875" style="280" customWidth="1"/>
    <col min="14856" max="14856" width="11.85546875" style="280" customWidth="1"/>
    <col min="14857" max="14857" width="15.140625" style="280" customWidth="1"/>
    <col min="14858" max="15106" width="9.140625" style="280"/>
    <col min="15107" max="15107" width="28.7109375" style="280" customWidth="1"/>
    <col min="15108" max="15110" width="11.85546875" style="280" customWidth="1"/>
    <col min="15111" max="15111" width="14.85546875" style="280" customWidth="1"/>
    <col min="15112" max="15112" width="11.85546875" style="280" customWidth="1"/>
    <col min="15113" max="15113" width="15.140625" style="280" customWidth="1"/>
    <col min="15114" max="15362" width="9.140625" style="280"/>
    <col min="15363" max="15363" width="28.7109375" style="280" customWidth="1"/>
    <col min="15364" max="15366" width="11.85546875" style="280" customWidth="1"/>
    <col min="15367" max="15367" width="14.85546875" style="280" customWidth="1"/>
    <col min="15368" max="15368" width="11.85546875" style="280" customWidth="1"/>
    <col min="15369" max="15369" width="15.140625" style="280" customWidth="1"/>
    <col min="15370" max="15618" width="9.140625" style="280"/>
    <col min="15619" max="15619" width="28.7109375" style="280" customWidth="1"/>
    <col min="15620" max="15622" width="11.85546875" style="280" customWidth="1"/>
    <col min="15623" max="15623" width="14.85546875" style="280" customWidth="1"/>
    <col min="15624" max="15624" width="11.85546875" style="280" customWidth="1"/>
    <col min="15625" max="15625" width="15.140625" style="280" customWidth="1"/>
    <col min="15626" max="15874" width="9.140625" style="280"/>
    <col min="15875" max="15875" width="28.7109375" style="280" customWidth="1"/>
    <col min="15876" max="15878" width="11.85546875" style="280" customWidth="1"/>
    <col min="15879" max="15879" width="14.85546875" style="280" customWidth="1"/>
    <col min="15880" max="15880" width="11.85546875" style="280" customWidth="1"/>
    <col min="15881" max="15881" width="15.140625" style="280" customWidth="1"/>
    <col min="15882" max="16130" width="9.140625" style="280"/>
    <col min="16131" max="16131" width="28.7109375" style="280" customWidth="1"/>
    <col min="16132" max="16134" width="11.85546875" style="280" customWidth="1"/>
    <col min="16135" max="16135" width="14.85546875" style="280" customWidth="1"/>
    <col min="16136" max="16136" width="11.85546875" style="280" customWidth="1"/>
    <col min="16137" max="16137" width="15.140625" style="280" customWidth="1"/>
    <col min="16138" max="16384" width="9.140625" style="280"/>
  </cols>
  <sheetData>
    <row r="1" spans="1:9" ht="15.75" customHeight="1">
      <c r="A1" s="387" t="s">
        <v>691</v>
      </c>
      <c r="B1" s="387"/>
      <c r="C1" s="387"/>
      <c r="D1" s="387"/>
      <c r="E1" s="387"/>
      <c r="F1" s="387"/>
      <c r="G1" s="387"/>
      <c r="H1" s="387"/>
      <c r="I1" s="387"/>
    </row>
    <row r="2" spans="1:9" ht="15.75">
      <c r="A2" s="388" t="s">
        <v>254</v>
      </c>
      <c r="B2" s="388" t="s">
        <v>255</v>
      </c>
      <c r="C2" s="388"/>
      <c r="D2" s="389" t="s">
        <v>304</v>
      </c>
      <c r="E2" s="389"/>
      <c r="F2" s="389" t="s">
        <v>311</v>
      </c>
      <c r="G2" s="389"/>
      <c r="H2" s="389" t="s">
        <v>569</v>
      </c>
      <c r="I2" s="389"/>
    </row>
    <row r="3" spans="1:9" ht="35.25" customHeight="1">
      <c r="A3" s="388"/>
      <c r="B3" s="388"/>
      <c r="C3" s="388"/>
      <c r="D3" s="281" t="s">
        <v>692</v>
      </c>
      <c r="E3" s="281" t="s">
        <v>693</v>
      </c>
      <c r="F3" s="281" t="s">
        <v>692</v>
      </c>
      <c r="G3" s="281" t="s">
        <v>694</v>
      </c>
      <c r="H3" s="281" t="s">
        <v>692</v>
      </c>
      <c r="I3" s="281" t="s">
        <v>697</v>
      </c>
    </row>
    <row r="4" spans="1:9" ht="15.75" customHeight="1">
      <c r="A4" s="281">
        <v>1</v>
      </c>
      <c r="B4" s="386" t="s">
        <v>256</v>
      </c>
      <c r="C4" s="386"/>
      <c r="D4" s="282">
        <v>29.15</v>
      </c>
      <c r="E4" s="282">
        <v>27.273990000000001</v>
      </c>
      <c r="F4" s="282">
        <v>29.15</v>
      </c>
      <c r="G4" s="282">
        <f>3476688/100000</f>
        <v>34.76688</v>
      </c>
      <c r="H4" s="283">
        <v>52.55</v>
      </c>
      <c r="I4" s="283">
        <v>23.276800000000001</v>
      </c>
    </row>
    <row r="5" spans="1:9" ht="15.75" customHeight="1">
      <c r="A5" s="281">
        <v>2</v>
      </c>
      <c r="B5" s="386" t="s">
        <v>220</v>
      </c>
      <c r="C5" s="386"/>
      <c r="D5" s="282">
        <v>188.5</v>
      </c>
      <c r="E5" s="282">
        <v>179.81365</v>
      </c>
      <c r="F5" s="282">
        <v>188.5</v>
      </c>
      <c r="G5" s="282">
        <f>14557825/100000</f>
        <v>145.57825</v>
      </c>
      <c r="H5" s="283">
        <v>299.7</v>
      </c>
      <c r="I5" s="283">
        <v>21.377230000000001</v>
      </c>
    </row>
    <row r="6" spans="1:9" ht="15.75">
      <c r="A6" s="281">
        <v>3</v>
      </c>
      <c r="B6" s="386" t="s">
        <v>17</v>
      </c>
      <c r="C6" s="386"/>
      <c r="D6" s="282">
        <v>4064.7999999999997</v>
      </c>
      <c r="E6" s="282">
        <v>1965.2949900000001</v>
      </c>
      <c r="F6" s="282">
        <f>3511.59+1059.05+2083-47.11</f>
        <v>6606.5300000000007</v>
      </c>
      <c r="G6" s="282">
        <f>556519309.5/100000</f>
        <v>5565.1930949999996</v>
      </c>
      <c r="H6" s="283">
        <v>3321.6</v>
      </c>
      <c r="I6" s="283">
        <v>1789.222</v>
      </c>
    </row>
    <row r="7" spans="1:9" ht="15.75" customHeight="1">
      <c r="A7" s="281">
        <v>4</v>
      </c>
      <c r="B7" s="386" t="s">
        <v>257</v>
      </c>
      <c r="C7" s="386"/>
      <c r="D7" s="282">
        <v>0</v>
      </c>
      <c r="E7" s="282">
        <v>14.910349999999999</v>
      </c>
      <c r="F7" s="282">
        <v>2</v>
      </c>
      <c r="G7" s="282">
        <f>830795/100000</f>
        <v>8.3079499999999999</v>
      </c>
      <c r="H7" s="283">
        <v>15.64</v>
      </c>
      <c r="I7" s="283">
        <v>1.0312699999999999</v>
      </c>
    </row>
    <row r="8" spans="1:9" ht="15.75">
      <c r="A8" s="281">
        <v>5</v>
      </c>
      <c r="B8" s="386" t="s">
        <v>258</v>
      </c>
      <c r="C8" s="386"/>
      <c r="D8" s="282">
        <v>0</v>
      </c>
      <c r="E8" s="282">
        <v>4.7472099999999999</v>
      </c>
      <c r="F8" s="282">
        <v>0</v>
      </c>
      <c r="G8" s="282">
        <f>94450/100000</f>
        <v>0.94450000000000001</v>
      </c>
      <c r="H8" s="283">
        <v>0</v>
      </c>
      <c r="I8" s="283">
        <v>0</v>
      </c>
    </row>
    <row r="9" spans="1:9" ht="15.75" customHeight="1">
      <c r="A9" s="281">
        <v>6</v>
      </c>
      <c r="B9" s="386" t="s">
        <v>259</v>
      </c>
      <c r="C9" s="386"/>
      <c r="D9" s="282">
        <v>20</v>
      </c>
      <c r="E9" s="282">
        <v>13.67775</v>
      </c>
      <c r="F9" s="282">
        <v>20</v>
      </c>
      <c r="G9" s="282">
        <f>797598/100000</f>
        <v>7.9759799999999998</v>
      </c>
      <c r="H9" s="283">
        <v>10.5</v>
      </c>
      <c r="I9" s="283">
        <v>0.25800000000000001</v>
      </c>
    </row>
    <row r="10" spans="1:9" ht="15.75" customHeight="1">
      <c r="A10" s="281">
        <v>7</v>
      </c>
      <c r="B10" s="386" t="s">
        <v>260</v>
      </c>
      <c r="C10" s="386"/>
      <c r="D10" s="282">
        <v>253.55</v>
      </c>
      <c r="E10" s="282">
        <v>93.530619999999999</v>
      </c>
      <c r="F10" s="282">
        <v>256.94</v>
      </c>
      <c r="G10" s="282">
        <f>25946622/100000</f>
        <v>259.46622000000002</v>
      </c>
      <c r="H10" s="283">
        <v>126.1</v>
      </c>
      <c r="I10" s="283">
        <v>42.407789999999999</v>
      </c>
    </row>
    <row r="11" spans="1:9" ht="15.75" customHeight="1">
      <c r="A11" s="281">
        <v>8</v>
      </c>
      <c r="B11" s="386" t="s">
        <v>131</v>
      </c>
      <c r="C11" s="386"/>
      <c r="D11" s="282">
        <v>147.95999999999998</v>
      </c>
      <c r="E11" s="282">
        <v>78.692059999999998</v>
      </c>
      <c r="F11" s="282">
        <v>121.97</v>
      </c>
      <c r="G11" s="282">
        <f>12791307/100000</f>
        <v>127.91307</v>
      </c>
      <c r="H11" s="283">
        <v>82.1</v>
      </c>
      <c r="I11" s="283">
        <v>42.785999999999994</v>
      </c>
    </row>
    <row r="12" spans="1:9" ht="15.75" customHeight="1">
      <c r="A12" s="281">
        <v>9</v>
      </c>
      <c r="B12" s="386" t="s">
        <v>261</v>
      </c>
      <c r="C12" s="386"/>
      <c r="D12" s="282">
        <v>91</v>
      </c>
      <c r="E12" s="282">
        <v>365.51808</v>
      </c>
      <c r="F12" s="282">
        <f>959+376.32</f>
        <v>1335.32</v>
      </c>
      <c r="G12" s="282">
        <f>87350598/100000</f>
        <v>873.50598000000002</v>
      </c>
      <c r="H12" s="283">
        <v>337.74</v>
      </c>
      <c r="I12" s="283">
        <v>679.64512000000002</v>
      </c>
    </row>
    <row r="13" spans="1:9" ht="15.75" customHeight="1">
      <c r="A13" s="281">
        <v>10</v>
      </c>
      <c r="B13" s="386" t="s">
        <v>262</v>
      </c>
      <c r="C13" s="386"/>
      <c r="D13" s="282">
        <v>1</v>
      </c>
      <c r="E13" s="282">
        <v>54.482689999999998</v>
      </c>
      <c r="F13" s="282">
        <v>9.61</v>
      </c>
      <c r="G13" s="282">
        <f>134261/100000</f>
        <v>1.3426100000000001</v>
      </c>
      <c r="H13" s="283">
        <v>7.96</v>
      </c>
      <c r="I13" s="283">
        <v>0</v>
      </c>
    </row>
    <row r="14" spans="1:9" ht="15.75" customHeight="1">
      <c r="A14" s="281">
        <v>11</v>
      </c>
      <c r="B14" s="386" t="s">
        <v>263</v>
      </c>
      <c r="C14" s="386"/>
      <c r="D14" s="282">
        <v>124.11</v>
      </c>
      <c r="E14" s="282">
        <v>77.528360000000006</v>
      </c>
      <c r="F14" s="282">
        <v>188.9</v>
      </c>
      <c r="G14" s="282">
        <f>22120819/100000</f>
        <v>221.20819</v>
      </c>
      <c r="H14" s="283">
        <v>178.1</v>
      </c>
      <c r="I14" s="283">
        <v>26.650652600000001</v>
      </c>
    </row>
    <row r="15" spans="1:9" ht="15.75">
      <c r="A15" s="281">
        <v>12</v>
      </c>
      <c r="B15" s="386" t="s">
        <v>264</v>
      </c>
      <c r="C15" s="386"/>
      <c r="D15" s="282">
        <v>3</v>
      </c>
      <c r="E15" s="282">
        <v>0</v>
      </c>
      <c r="F15" s="282">
        <v>0</v>
      </c>
      <c r="G15" s="282">
        <f>64467461/100000</f>
        <v>644.67461000000003</v>
      </c>
      <c r="H15" s="283">
        <v>3.57</v>
      </c>
      <c r="I15" s="283">
        <v>1.06169</v>
      </c>
    </row>
    <row r="16" spans="1:9" ht="15.75" customHeight="1">
      <c r="A16" s="281">
        <v>13</v>
      </c>
      <c r="B16" s="386" t="s">
        <v>119</v>
      </c>
      <c r="C16" s="386"/>
      <c r="D16" s="282">
        <v>160</v>
      </c>
      <c r="E16" s="282">
        <v>172.20349999999999</v>
      </c>
      <c r="F16" s="282">
        <v>10</v>
      </c>
      <c r="G16" s="282">
        <f>1935024/100000</f>
        <v>19.350239999999999</v>
      </c>
      <c r="H16" s="283">
        <v>21</v>
      </c>
      <c r="I16" s="283">
        <v>13.697809999999999</v>
      </c>
    </row>
    <row r="17" spans="1:9" ht="15.75" customHeight="1">
      <c r="A17" s="281">
        <v>14</v>
      </c>
      <c r="B17" s="386" t="s">
        <v>265</v>
      </c>
      <c r="C17" s="386"/>
      <c r="D17" s="282">
        <v>6</v>
      </c>
      <c r="E17" s="282">
        <v>8.8999999999999996E-2</v>
      </c>
      <c r="F17" s="282">
        <v>6</v>
      </c>
      <c r="G17" s="282">
        <f>60000/100000</f>
        <v>0.6</v>
      </c>
      <c r="H17" s="283">
        <v>6</v>
      </c>
      <c r="I17" s="283">
        <v>0.9</v>
      </c>
    </row>
    <row r="18" spans="1:9" ht="15.75" customHeight="1">
      <c r="A18" s="281">
        <v>15</v>
      </c>
      <c r="B18" s="386" t="s">
        <v>695</v>
      </c>
      <c r="C18" s="386"/>
      <c r="D18" s="282">
        <v>15</v>
      </c>
      <c r="E18" s="282">
        <v>0</v>
      </c>
      <c r="F18" s="282">
        <v>180</v>
      </c>
      <c r="G18" s="282">
        <f>15213319/100000</f>
        <v>152.13319000000001</v>
      </c>
      <c r="H18" s="283">
        <v>19.600000000000001</v>
      </c>
      <c r="I18" s="283">
        <v>0.49986999999999998</v>
      </c>
    </row>
    <row r="19" spans="1:9" ht="22.5" customHeight="1">
      <c r="A19" s="281">
        <v>16</v>
      </c>
      <c r="B19" s="386" t="s">
        <v>696</v>
      </c>
      <c r="C19" s="386"/>
      <c r="D19" s="282">
        <v>0</v>
      </c>
      <c r="E19" s="282">
        <v>86.475679999999997</v>
      </c>
      <c r="F19" s="282">
        <v>0</v>
      </c>
      <c r="G19" s="282">
        <f>116000/100000</f>
        <v>1.1599999999999999</v>
      </c>
      <c r="H19" s="283">
        <v>3.25</v>
      </c>
      <c r="I19" s="283">
        <v>1.2891999999999999</v>
      </c>
    </row>
    <row r="20" spans="1:9" ht="15.75" customHeight="1">
      <c r="A20" s="281">
        <v>17</v>
      </c>
      <c r="B20" s="386" t="s">
        <v>266</v>
      </c>
      <c r="C20" s="386"/>
      <c r="D20" s="282">
        <v>3.45</v>
      </c>
      <c r="E20" s="282">
        <v>5.9266699999999997</v>
      </c>
      <c r="F20" s="282">
        <v>0</v>
      </c>
      <c r="G20" s="282">
        <f>187250/100000</f>
        <v>1.8725000000000001</v>
      </c>
      <c r="H20" s="283">
        <v>3.9</v>
      </c>
      <c r="I20" s="283">
        <v>0</v>
      </c>
    </row>
    <row r="21" spans="1:9" ht="16.5" customHeight="1">
      <c r="A21" s="281">
        <v>18</v>
      </c>
      <c r="B21" s="386" t="s">
        <v>267</v>
      </c>
      <c r="C21" s="386"/>
      <c r="D21" s="282">
        <v>0</v>
      </c>
      <c r="E21" s="282">
        <v>12.57391</v>
      </c>
      <c r="F21" s="282">
        <v>30</v>
      </c>
      <c r="G21" s="282">
        <f>595891/100000</f>
        <v>5.9589100000000004</v>
      </c>
      <c r="H21" s="283">
        <v>30.5</v>
      </c>
      <c r="I21" s="283">
        <v>3.6629699999999996</v>
      </c>
    </row>
    <row r="22" spans="1:9" ht="15.75">
      <c r="A22" s="281">
        <v>19</v>
      </c>
      <c r="B22" s="386" t="s">
        <v>268</v>
      </c>
      <c r="C22" s="386"/>
      <c r="D22" s="282">
        <v>47.11</v>
      </c>
      <c r="E22" s="282">
        <v>50.683050000000001</v>
      </c>
      <c r="F22" s="282">
        <v>47.11</v>
      </c>
      <c r="G22" s="282">
        <f>3672488/100000</f>
        <v>36.724879999999999</v>
      </c>
      <c r="H22" s="283">
        <v>27.24</v>
      </c>
      <c r="I22" s="283">
        <v>10.025270000000001</v>
      </c>
    </row>
    <row r="23" spans="1:9" ht="16.5" customHeight="1">
      <c r="A23" s="281"/>
      <c r="B23" s="386" t="s">
        <v>18</v>
      </c>
      <c r="C23" s="386"/>
      <c r="D23" s="284">
        <f t="shared" ref="D23:I23" si="0">SUM(D4:D22)</f>
        <v>5154.6299999999992</v>
      </c>
      <c r="E23" s="284">
        <f t="shared" si="0"/>
        <v>3203.4215599999993</v>
      </c>
      <c r="F23" s="284">
        <f>SUM(F4:F22)</f>
        <v>9032.0300000000007</v>
      </c>
      <c r="G23" s="284">
        <f t="shared" si="0"/>
        <v>8108.6770550000001</v>
      </c>
      <c r="H23" s="285">
        <f t="shared" si="0"/>
        <v>4547.0499999999993</v>
      </c>
      <c r="I23" s="284">
        <f t="shared" si="0"/>
        <v>2657.7916726000003</v>
      </c>
    </row>
    <row r="24" spans="1:9" ht="16.5" customHeight="1">
      <c r="A24" s="281">
        <v>19</v>
      </c>
      <c r="B24" s="386" t="s">
        <v>269</v>
      </c>
      <c r="C24" s="386"/>
      <c r="D24" s="286">
        <v>0</v>
      </c>
      <c r="E24" s="286">
        <v>0</v>
      </c>
      <c r="F24" s="286">
        <v>0</v>
      </c>
      <c r="G24" s="286">
        <v>0</v>
      </c>
      <c r="H24" s="287">
        <v>0</v>
      </c>
      <c r="I24" s="286">
        <v>0</v>
      </c>
    </row>
    <row r="25" spans="1:9" ht="15.75">
      <c r="A25" s="281"/>
      <c r="B25" s="386" t="s">
        <v>270</v>
      </c>
      <c r="C25" s="386"/>
      <c r="D25" s="284">
        <f t="shared" ref="D25:I25" si="1">D23+D24</f>
        <v>5154.6299999999992</v>
      </c>
      <c r="E25" s="284">
        <f t="shared" si="1"/>
        <v>3203.4215599999993</v>
      </c>
      <c r="F25" s="284">
        <f t="shared" si="1"/>
        <v>9032.0300000000007</v>
      </c>
      <c r="G25" s="284">
        <f t="shared" si="1"/>
        <v>8108.6770550000001</v>
      </c>
      <c r="H25" s="285">
        <f t="shared" si="1"/>
        <v>4547.0499999999993</v>
      </c>
      <c r="I25" s="284">
        <f t="shared" si="1"/>
        <v>2657.7916726000003</v>
      </c>
    </row>
    <row r="28" spans="1:9">
      <c r="G28" s="288"/>
    </row>
    <row r="30" spans="1:9">
      <c r="G30" s="288"/>
    </row>
  </sheetData>
  <mergeCells count="28">
    <mergeCell ref="A1:I1"/>
    <mergeCell ref="A2:A3"/>
    <mergeCell ref="B2:C3"/>
    <mergeCell ref="D2:E2"/>
    <mergeCell ref="F2:G2"/>
    <mergeCell ref="H2:I2"/>
    <mergeCell ref="B4:C4"/>
    <mergeCell ref="B7:C7"/>
    <mergeCell ref="B8:C8"/>
    <mergeCell ref="B9:C9"/>
    <mergeCell ref="B10:C10"/>
    <mergeCell ref="B5:C5"/>
    <mergeCell ref="B6:C6"/>
    <mergeCell ref="B25:C25"/>
    <mergeCell ref="B24:C24"/>
    <mergeCell ref="B17:C17"/>
    <mergeCell ref="B18:C18"/>
    <mergeCell ref="B19:C19"/>
    <mergeCell ref="B20:C20"/>
    <mergeCell ref="B22:C22"/>
    <mergeCell ref="B23:C23"/>
    <mergeCell ref="B16:C16"/>
    <mergeCell ref="B21:C21"/>
    <mergeCell ref="B11:C11"/>
    <mergeCell ref="B12:C12"/>
    <mergeCell ref="B13:C13"/>
    <mergeCell ref="B14:C14"/>
    <mergeCell ref="B15:C15"/>
  </mergeCells>
  <pageMargins left="0.70866141732283472" right="0.70866141732283472" top="0.74803149606299213" bottom="0.74803149606299213" header="0.31496062992125984" footer="0.31496062992125984"/>
  <pageSetup scale="73" orientation="landscape" horizontalDpi="150" verticalDpi="150" r:id="rId1"/>
</worksheet>
</file>

<file path=xl/worksheets/sheet5.xml><?xml version="1.0" encoding="utf-8"?>
<worksheet xmlns="http://schemas.openxmlformats.org/spreadsheetml/2006/main" xmlns:r="http://schemas.openxmlformats.org/officeDocument/2006/relationships">
  <dimension ref="B2:E39"/>
  <sheetViews>
    <sheetView topLeftCell="A31" workbookViewId="0">
      <selection activeCell="C37" sqref="C37"/>
    </sheetView>
  </sheetViews>
  <sheetFormatPr defaultRowHeight="15"/>
  <cols>
    <col min="3" max="3" width="20.42578125" customWidth="1"/>
    <col min="4" max="4" width="56.7109375" customWidth="1"/>
    <col min="5" max="5" width="26" customWidth="1"/>
  </cols>
  <sheetData>
    <row r="2" spans="2:5" ht="15.75">
      <c r="B2" s="5" t="s">
        <v>224</v>
      </c>
    </row>
    <row r="3" spans="2:5" ht="15.75" thickBot="1"/>
    <row r="4" spans="2:5" ht="63.75" thickBot="1">
      <c r="B4" s="339" t="s">
        <v>225</v>
      </c>
      <c r="C4" s="340" t="s">
        <v>231</v>
      </c>
      <c r="D4" s="341" t="s">
        <v>226</v>
      </c>
      <c r="E4" s="342" t="s">
        <v>232</v>
      </c>
    </row>
    <row r="5" spans="2:5" ht="12" customHeight="1" thickBot="1">
      <c r="B5" s="395">
        <v>1</v>
      </c>
      <c r="C5" s="395" t="s">
        <v>728</v>
      </c>
      <c r="D5" s="343" t="s">
        <v>729</v>
      </c>
      <c r="E5" s="390" t="s">
        <v>730</v>
      </c>
    </row>
    <row r="6" spans="2:5" ht="12" customHeight="1">
      <c r="B6" s="396"/>
      <c r="C6" s="396"/>
      <c r="D6" s="393" t="s">
        <v>731</v>
      </c>
      <c r="E6" s="391"/>
    </row>
    <row r="7" spans="2:5" ht="12" customHeight="1" thickBot="1">
      <c r="B7" s="396"/>
      <c r="C7" s="396"/>
      <c r="D7" s="394"/>
      <c r="E7" s="391"/>
    </row>
    <row r="8" spans="2:5" ht="12" customHeight="1">
      <c r="B8" s="396"/>
      <c r="C8" s="396"/>
      <c r="D8" s="393" t="s">
        <v>732</v>
      </c>
      <c r="E8" s="391"/>
    </row>
    <row r="9" spans="2:5" ht="12" customHeight="1" thickBot="1">
      <c r="B9" s="397"/>
      <c r="C9" s="397"/>
      <c r="D9" s="394"/>
      <c r="E9" s="392"/>
    </row>
    <row r="10" spans="2:5" ht="12" customHeight="1">
      <c r="B10" s="395">
        <v>2</v>
      </c>
      <c r="C10" s="395" t="s">
        <v>733</v>
      </c>
      <c r="D10" s="398" t="s">
        <v>734</v>
      </c>
      <c r="E10" s="390" t="s">
        <v>730</v>
      </c>
    </row>
    <row r="11" spans="2:5" ht="12" customHeight="1" thickBot="1">
      <c r="B11" s="396"/>
      <c r="C11" s="396"/>
      <c r="D11" s="399"/>
      <c r="E11" s="391"/>
    </row>
    <row r="12" spans="2:5" ht="12" customHeight="1">
      <c r="B12" s="396"/>
      <c r="C12" s="396"/>
      <c r="D12" s="398" t="s">
        <v>735</v>
      </c>
      <c r="E12" s="391"/>
    </row>
    <row r="13" spans="2:5" ht="12" customHeight="1" thickBot="1">
      <c r="B13" s="396"/>
      <c r="C13" s="396"/>
      <c r="D13" s="399"/>
      <c r="E13" s="391"/>
    </row>
    <row r="14" spans="2:5" ht="12" customHeight="1" thickBot="1">
      <c r="B14" s="397"/>
      <c r="C14" s="397"/>
      <c r="D14" s="344" t="s">
        <v>736</v>
      </c>
      <c r="E14" s="392"/>
    </row>
    <row r="15" spans="2:5" ht="12" customHeight="1">
      <c r="B15" s="395">
        <v>3</v>
      </c>
      <c r="C15" s="395" t="s">
        <v>737</v>
      </c>
      <c r="D15" s="398" t="s">
        <v>738</v>
      </c>
      <c r="E15" s="390" t="s">
        <v>730</v>
      </c>
    </row>
    <row r="16" spans="2:5" ht="12" customHeight="1" thickBot="1">
      <c r="B16" s="396"/>
      <c r="C16" s="396"/>
      <c r="D16" s="399"/>
      <c r="E16" s="391"/>
    </row>
    <row r="17" spans="2:5" ht="12" customHeight="1">
      <c r="B17" s="396"/>
      <c r="C17" s="396"/>
      <c r="D17" s="398" t="s">
        <v>739</v>
      </c>
      <c r="E17" s="391"/>
    </row>
    <row r="18" spans="2:5" ht="12" customHeight="1" thickBot="1">
      <c r="B18" s="396"/>
      <c r="C18" s="396"/>
      <c r="D18" s="399"/>
      <c r="E18" s="391"/>
    </row>
    <row r="19" spans="2:5" ht="12" customHeight="1" thickBot="1">
      <c r="B19" s="397"/>
      <c r="C19" s="397"/>
      <c r="D19" s="344" t="s">
        <v>740</v>
      </c>
      <c r="E19" s="392"/>
    </row>
    <row r="20" spans="2:5" ht="12" customHeight="1">
      <c r="B20" s="395">
        <v>4</v>
      </c>
      <c r="C20" s="395" t="s">
        <v>741</v>
      </c>
      <c r="D20" s="393" t="s">
        <v>742</v>
      </c>
      <c r="E20" s="390" t="s">
        <v>730</v>
      </c>
    </row>
    <row r="21" spans="2:5" ht="12" customHeight="1" thickBot="1">
      <c r="B21" s="396"/>
      <c r="C21" s="396"/>
      <c r="D21" s="394"/>
      <c r="E21" s="391"/>
    </row>
    <row r="22" spans="2:5" ht="12" customHeight="1">
      <c r="B22" s="396"/>
      <c r="C22" s="396"/>
      <c r="D22" s="393" t="s">
        <v>743</v>
      </c>
      <c r="E22" s="391"/>
    </row>
    <row r="23" spans="2:5" ht="12" customHeight="1" thickBot="1">
      <c r="B23" s="396"/>
      <c r="C23" s="396"/>
      <c r="D23" s="394"/>
      <c r="E23" s="391"/>
    </row>
    <row r="24" spans="2:5" ht="12" customHeight="1">
      <c r="B24" s="396"/>
      <c r="C24" s="396"/>
      <c r="D24" s="393" t="s">
        <v>744</v>
      </c>
      <c r="E24" s="391"/>
    </row>
    <row r="25" spans="2:5" ht="12" customHeight="1" thickBot="1">
      <c r="B25" s="397"/>
      <c r="C25" s="397"/>
      <c r="D25" s="394"/>
      <c r="E25" s="392"/>
    </row>
    <row r="26" spans="2:5" ht="12" customHeight="1">
      <c r="B26" s="395">
        <v>5</v>
      </c>
      <c r="C26" s="395" t="s">
        <v>745</v>
      </c>
      <c r="D26" s="393" t="s">
        <v>746</v>
      </c>
      <c r="E26" s="390" t="s">
        <v>730</v>
      </c>
    </row>
    <row r="27" spans="2:5" ht="12" customHeight="1" thickBot="1">
      <c r="B27" s="396"/>
      <c r="C27" s="396"/>
      <c r="D27" s="394"/>
      <c r="E27" s="391"/>
    </row>
    <row r="28" spans="2:5" ht="12" customHeight="1">
      <c r="B28" s="396"/>
      <c r="C28" s="396"/>
      <c r="D28" s="393" t="s">
        <v>747</v>
      </c>
      <c r="E28" s="391"/>
    </row>
    <row r="29" spans="2:5" ht="12" customHeight="1" thickBot="1">
      <c r="B29" s="396"/>
      <c r="C29" s="396"/>
      <c r="D29" s="394"/>
      <c r="E29" s="391"/>
    </row>
    <row r="30" spans="2:5" ht="12" customHeight="1" thickBot="1">
      <c r="B30" s="397"/>
      <c r="C30" s="397"/>
      <c r="D30" s="343" t="s">
        <v>748</v>
      </c>
      <c r="E30" s="392"/>
    </row>
    <row r="31" spans="2:5" ht="43.5" customHeight="1">
      <c r="D31" s="345" t="s">
        <v>749</v>
      </c>
    </row>
    <row r="33" spans="2:4" ht="15.75">
      <c r="B33" s="400" t="s">
        <v>227</v>
      </c>
      <c r="C33" s="400"/>
      <c r="D33" s="400"/>
    </row>
    <row r="34" spans="2:4" ht="15.75" thickBot="1"/>
    <row r="35" spans="2:4">
      <c r="B35" s="401" t="s">
        <v>228</v>
      </c>
      <c r="C35" s="401" t="s">
        <v>229</v>
      </c>
      <c r="D35" s="401" t="s">
        <v>230</v>
      </c>
    </row>
    <row r="36" spans="2:4" ht="15.75" thickBot="1">
      <c r="B36" s="402"/>
      <c r="C36" s="402"/>
      <c r="D36" s="402"/>
    </row>
    <row r="37" spans="2:4" ht="45.75" thickBot="1">
      <c r="B37" s="346">
        <v>1</v>
      </c>
      <c r="C37" s="347" t="s">
        <v>750</v>
      </c>
      <c r="D37" s="347" t="s">
        <v>751</v>
      </c>
    </row>
    <row r="38" spans="2:4" ht="15.75" thickBot="1">
      <c r="B38" s="346">
        <v>2</v>
      </c>
      <c r="C38" s="347" t="s">
        <v>752</v>
      </c>
      <c r="D38" s="347" t="s">
        <v>753</v>
      </c>
    </row>
    <row r="39" spans="2:4" ht="16.5" thickBot="1">
      <c r="B39" s="348"/>
      <c r="C39" s="349"/>
      <c r="D39" s="349"/>
    </row>
  </sheetData>
  <mergeCells count="30">
    <mergeCell ref="E26:E30"/>
    <mergeCell ref="D28:D29"/>
    <mergeCell ref="B33:D33"/>
    <mergeCell ref="B35:B36"/>
    <mergeCell ref="C35:C36"/>
    <mergeCell ref="D35:D36"/>
    <mergeCell ref="B26:B30"/>
    <mergeCell ref="C26:C30"/>
    <mergeCell ref="D26:D27"/>
    <mergeCell ref="E15:E19"/>
    <mergeCell ref="D17:D18"/>
    <mergeCell ref="B20:B25"/>
    <mergeCell ref="C20:C25"/>
    <mergeCell ref="D20:D21"/>
    <mergeCell ref="E20:E25"/>
    <mergeCell ref="D22:D23"/>
    <mergeCell ref="D24:D25"/>
    <mergeCell ref="B15:B19"/>
    <mergeCell ref="C15:C19"/>
    <mergeCell ref="D15:D16"/>
    <mergeCell ref="E5:E9"/>
    <mergeCell ref="D6:D7"/>
    <mergeCell ref="D8:D9"/>
    <mergeCell ref="B10:B14"/>
    <mergeCell ref="C10:C14"/>
    <mergeCell ref="D10:D11"/>
    <mergeCell ref="E10:E14"/>
    <mergeCell ref="D12:D13"/>
    <mergeCell ref="B5:B9"/>
    <mergeCell ref="C5:C9"/>
  </mergeCells>
  <pageMargins left="0.7" right="0.7" top="0.75" bottom="0.75" header="0.3" footer="0.3"/>
  <pageSetup scale="75" orientation="landscape" horizontalDpi="4294967295" verticalDpi="4294967295" r:id="rId1"/>
</worksheet>
</file>

<file path=xl/worksheets/sheet6.xml><?xml version="1.0" encoding="utf-8"?>
<worksheet xmlns="http://schemas.openxmlformats.org/spreadsheetml/2006/main" xmlns:r="http://schemas.openxmlformats.org/officeDocument/2006/relationships">
  <sheetPr codeName="Sheet1"/>
  <dimension ref="A1:AM40"/>
  <sheetViews>
    <sheetView workbookViewId="0">
      <pane xSplit="2" ySplit="5" topLeftCell="C6" activePane="bottomRight" state="frozen"/>
      <selection pane="topRight" activeCell="C1" sqref="C1"/>
      <selection pane="bottomLeft" activeCell="A6" sqref="A6"/>
      <selection pane="bottomRight" activeCell="F6" sqref="F6"/>
    </sheetView>
  </sheetViews>
  <sheetFormatPr defaultRowHeight="27.6" customHeight="1"/>
  <cols>
    <col min="2" max="2" width="13.7109375" customWidth="1"/>
    <col min="3" max="3" width="11" customWidth="1"/>
    <col min="38" max="38" width="9.140625" customWidth="1"/>
    <col min="258" max="258" width="13.7109375" customWidth="1"/>
    <col min="259" max="259" width="11" customWidth="1"/>
    <col min="294" max="294" width="9.140625" customWidth="1"/>
    <col min="514" max="514" width="13.7109375" customWidth="1"/>
    <col min="515" max="515" width="11" customWidth="1"/>
    <col min="550" max="550" width="9.140625" customWidth="1"/>
    <col min="770" max="770" width="13.7109375" customWidth="1"/>
    <col min="771" max="771" width="11" customWidth="1"/>
    <col min="806" max="806" width="9.140625" customWidth="1"/>
    <col min="1026" max="1026" width="13.7109375" customWidth="1"/>
    <col min="1027" max="1027" width="11" customWidth="1"/>
    <col min="1062" max="1062" width="9.140625" customWidth="1"/>
    <col min="1282" max="1282" width="13.7109375" customWidth="1"/>
    <col min="1283" max="1283" width="11" customWidth="1"/>
    <col min="1318" max="1318" width="9.140625" customWidth="1"/>
    <col min="1538" max="1538" width="13.7109375" customWidth="1"/>
    <col min="1539" max="1539" width="11" customWidth="1"/>
    <col min="1574" max="1574" width="9.140625" customWidth="1"/>
    <col min="1794" max="1794" width="13.7109375" customWidth="1"/>
    <col min="1795" max="1795" width="11" customWidth="1"/>
    <col min="1830" max="1830" width="9.140625" customWidth="1"/>
    <col min="2050" max="2050" width="13.7109375" customWidth="1"/>
    <col min="2051" max="2051" width="11" customWidth="1"/>
    <col min="2086" max="2086" width="9.140625" customWidth="1"/>
    <col min="2306" max="2306" width="13.7109375" customWidth="1"/>
    <col min="2307" max="2307" width="11" customWidth="1"/>
    <col min="2342" max="2342" width="9.140625" customWidth="1"/>
    <col min="2562" max="2562" width="13.7109375" customWidth="1"/>
    <col min="2563" max="2563" width="11" customWidth="1"/>
    <col min="2598" max="2598" width="9.140625" customWidth="1"/>
    <col min="2818" max="2818" width="13.7109375" customWidth="1"/>
    <col min="2819" max="2819" width="11" customWidth="1"/>
    <col min="2854" max="2854" width="9.140625" customWidth="1"/>
    <col min="3074" max="3074" width="13.7109375" customWidth="1"/>
    <col min="3075" max="3075" width="11" customWidth="1"/>
    <col min="3110" max="3110" width="9.140625" customWidth="1"/>
    <col min="3330" max="3330" width="13.7109375" customWidth="1"/>
    <col min="3331" max="3331" width="11" customWidth="1"/>
    <col min="3366" max="3366" width="9.140625" customWidth="1"/>
    <col min="3586" max="3586" width="13.7109375" customWidth="1"/>
    <col min="3587" max="3587" width="11" customWidth="1"/>
    <col min="3622" max="3622" width="9.140625" customWidth="1"/>
    <col min="3842" max="3842" width="13.7109375" customWidth="1"/>
    <col min="3843" max="3843" width="11" customWidth="1"/>
    <col min="3878" max="3878" width="9.140625" customWidth="1"/>
    <col min="4098" max="4098" width="13.7109375" customWidth="1"/>
    <col min="4099" max="4099" width="11" customWidth="1"/>
    <col min="4134" max="4134" width="9.140625" customWidth="1"/>
    <col min="4354" max="4354" width="13.7109375" customWidth="1"/>
    <col min="4355" max="4355" width="11" customWidth="1"/>
    <col min="4390" max="4390" width="9.140625" customWidth="1"/>
    <col min="4610" max="4610" width="13.7109375" customWidth="1"/>
    <col min="4611" max="4611" width="11" customWidth="1"/>
    <col min="4646" max="4646" width="9.140625" customWidth="1"/>
    <col min="4866" max="4866" width="13.7109375" customWidth="1"/>
    <col min="4867" max="4867" width="11" customWidth="1"/>
    <col min="4902" max="4902" width="9.140625" customWidth="1"/>
    <col min="5122" max="5122" width="13.7109375" customWidth="1"/>
    <col min="5123" max="5123" width="11" customWidth="1"/>
    <col min="5158" max="5158" width="9.140625" customWidth="1"/>
    <col min="5378" max="5378" width="13.7109375" customWidth="1"/>
    <col min="5379" max="5379" width="11" customWidth="1"/>
    <col min="5414" max="5414" width="9.140625" customWidth="1"/>
    <col min="5634" max="5634" width="13.7109375" customWidth="1"/>
    <col min="5635" max="5635" width="11" customWidth="1"/>
    <col min="5670" max="5670" width="9.140625" customWidth="1"/>
    <col min="5890" max="5890" width="13.7109375" customWidth="1"/>
    <col min="5891" max="5891" width="11" customWidth="1"/>
    <col min="5926" max="5926" width="9.140625" customWidth="1"/>
    <col min="6146" max="6146" width="13.7109375" customWidth="1"/>
    <col min="6147" max="6147" width="11" customWidth="1"/>
    <col min="6182" max="6182" width="9.140625" customWidth="1"/>
    <col min="6402" max="6402" width="13.7109375" customWidth="1"/>
    <col min="6403" max="6403" width="11" customWidth="1"/>
    <col min="6438" max="6438" width="9.140625" customWidth="1"/>
    <col min="6658" max="6658" width="13.7109375" customWidth="1"/>
    <col min="6659" max="6659" width="11" customWidth="1"/>
    <col min="6694" max="6694" width="9.140625" customWidth="1"/>
    <col min="6914" max="6914" width="13.7109375" customWidth="1"/>
    <col min="6915" max="6915" width="11" customWidth="1"/>
    <col min="6950" max="6950" width="9.140625" customWidth="1"/>
    <col min="7170" max="7170" width="13.7109375" customWidth="1"/>
    <col min="7171" max="7171" width="11" customWidth="1"/>
    <col min="7206" max="7206" width="9.140625" customWidth="1"/>
    <col min="7426" max="7426" width="13.7109375" customWidth="1"/>
    <col min="7427" max="7427" width="11" customWidth="1"/>
    <col min="7462" max="7462" width="9.140625" customWidth="1"/>
    <col min="7682" max="7682" width="13.7109375" customWidth="1"/>
    <col min="7683" max="7683" width="11" customWidth="1"/>
    <col min="7718" max="7718" width="9.140625" customWidth="1"/>
    <col min="7938" max="7938" width="13.7109375" customWidth="1"/>
    <col min="7939" max="7939" width="11" customWidth="1"/>
    <col min="7974" max="7974" width="9.140625" customWidth="1"/>
    <col min="8194" max="8194" width="13.7109375" customWidth="1"/>
    <col min="8195" max="8195" width="11" customWidth="1"/>
    <col min="8230" max="8230" width="9.140625" customWidth="1"/>
    <col min="8450" max="8450" width="13.7109375" customWidth="1"/>
    <col min="8451" max="8451" width="11" customWidth="1"/>
    <col min="8486" max="8486" width="9.140625" customWidth="1"/>
    <col min="8706" max="8706" width="13.7109375" customWidth="1"/>
    <col min="8707" max="8707" width="11" customWidth="1"/>
    <col min="8742" max="8742" width="9.140625" customWidth="1"/>
    <col min="8962" max="8962" width="13.7109375" customWidth="1"/>
    <col min="8963" max="8963" width="11" customWidth="1"/>
    <col min="8998" max="8998" width="9.140625" customWidth="1"/>
    <col min="9218" max="9218" width="13.7109375" customWidth="1"/>
    <col min="9219" max="9219" width="11" customWidth="1"/>
    <col min="9254" max="9254" width="9.140625" customWidth="1"/>
    <col min="9474" max="9474" width="13.7109375" customWidth="1"/>
    <col min="9475" max="9475" width="11" customWidth="1"/>
    <col min="9510" max="9510" width="9.140625" customWidth="1"/>
    <col min="9730" max="9730" width="13.7109375" customWidth="1"/>
    <col min="9731" max="9731" width="11" customWidth="1"/>
    <col min="9766" max="9766" width="9.140625" customWidth="1"/>
    <col min="9986" max="9986" width="13.7109375" customWidth="1"/>
    <col min="9987" max="9987" width="11" customWidth="1"/>
    <col min="10022" max="10022" width="9.140625" customWidth="1"/>
    <col min="10242" max="10242" width="13.7109375" customWidth="1"/>
    <col min="10243" max="10243" width="11" customWidth="1"/>
    <col min="10278" max="10278" width="9.140625" customWidth="1"/>
    <col min="10498" max="10498" width="13.7109375" customWidth="1"/>
    <col min="10499" max="10499" width="11" customWidth="1"/>
    <col min="10534" max="10534" width="9.140625" customWidth="1"/>
    <col min="10754" max="10754" width="13.7109375" customWidth="1"/>
    <col min="10755" max="10755" width="11" customWidth="1"/>
    <col min="10790" max="10790" width="9.140625" customWidth="1"/>
    <col min="11010" max="11010" width="13.7109375" customWidth="1"/>
    <col min="11011" max="11011" width="11" customWidth="1"/>
    <col min="11046" max="11046" width="9.140625" customWidth="1"/>
    <col min="11266" max="11266" width="13.7109375" customWidth="1"/>
    <col min="11267" max="11267" width="11" customWidth="1"/>
    <col min="11302" max="11302" width="9.140625" customWidth="1"/>
    <col min="11522" max="11522" width="13.7109375" customWidth="1"/>
    <col min="11523" max="11523" width="11" customWidth="1"/>
    <col min="11558" max="11558" width="9.140625" customWidth="1"/>
    <col min="11778" max="11778" width="13.7109375" customWidth="1"/>
    <col min="11779" max="11779" width="11" customWidth="1"/>
    <col min="11814" max="11814" width="9.140625" customWidth="1"/>
    <col min="12034" max="12034" width="13.7109375" customWidth="1"/>
    <col min="12035" max="12035" width="11" customWidth="1"/>
    <col min="12070" max="12070" width="9.140625" customWidth="1"/>
    <col min="12290" max="12290" width="13.7109375" customWidth="1"/>
    <col min="12291" max="12291" width="11" customWidth="1"/>
    <col min="12326" max="12326" width="9.140625" customWidth="1"/>
    <col min="12546" max="12546" width="13.7109375" customWidth="1"/>
    <col min="12547" max="12547" width="11" customWidth="1"/>
    <col min="12582" max="12582" width="9.140625" customWidth="1"/>
    <col min="12802" max="12802" width="13.7109375" customWidth="1"/>
    <col min="12803" max="12803" width="11" customWidth="1"/>
    <col min="12838" max="12838" width="9.140625" customWidth="1"/>
    <col min="13058" max="13058" width="13.7109375" customWidth="1"/>
    <col min="13059" max="13059" width="11" customWidth="1"/>
    <col min="13094" max="13094" width="9.140625" customWidth="1"/>
    <col min="13314" max="13314" width="13.7109375" customWidth="1"/>
    <col min="13315" max="13315" width="11" customWidth="1"/>
    <col min="13350" max="13350" width="9.140625" customWidth="1"/>
    <col min="13570" max="13570" width="13.7109375" customWidth="1"/>
    <col min="13571" max="13571" width="11" customWidth="1"/>
    <col min="13606" max="13606" width="9.140625" customWidth="1"/>
    <col min="13826" max="13826" width="13.7109375" customWidth="1"/>
    <col min="13827" max="13827" width="11" customWidth="1"/>
    <col min="13862" max="13862" width="9.140625" customWidth="1"/>
    <col min="14082" max="14082" width="13.7109375" customWidth="1"/>
    <col min="14083" max="14083" width="11" customWidth="1"/>
    <col min="14118" max="14118" width="9.140625" customWidth="1"/>
    <col min="14338" max="14338" width="13.7109375" customWidth="1"/>
    <col min="14339" max="14339" width="11" customWidth="1"/>
    <col min="14374" max="14374" width="9.140625" customWidth="1"/>
    <col min="14594" max="14594" width="13.7109375" customWidth="1"/>
    <col min="14595" max="14595" width="11" customWidth="1"/>
    <col min="14630" max="14630" width="9.140625" customWidth="1"/>
    <col min="14850" max="14850" width="13.7109375" customWidth="1"/>
    <col min="14851" max="14851" width="11" customWidth="1"/>
    <col min="14886" max="14886" width="9.140625" customWidth="1"/>
    <col min="15106" max="15106" width="13.7109375" customWidth="1"/>
    <col min="15107" max="15107" width="11" customWidth="1"/>
    <col min="15142" max="15142" width="9.140625" customWidth="1"/>
    <col min="15362" max="15362" width="13.7109375" customWidth="1"/>
    <col min="15363" max="15363" width="11" customWidth="1"/>
    <col min="15398" max="15398" width="9.140625" customWidth="1"/>
    <col min="15618" max="15618" width="13.7109375" customWidth="1"/>
    <col min="15619" max="15619" width="11" customWidth="1"/>
    <col min="15654" max="15654" width="9.140625" customWidth="1"/>
    <col min="15874" max="15874" width="13.7109375" customWidth="1"/>
    <col min="15875" max="15875" width="11" customWidth="1"/>
    <col min="15910" max="15910" width="9.140625" customWidth="1"/>
    <col min="16130" max="16130" width="13.7109375" customWidth="1"/>
    <col min="16131" max="16131" width="11" customWidth="1"/>
    <col min="16166" max="16166" width="9.140625" customWidth="1"/>
  </cols>
  <sheetData>
    <row r="1" spans="1:39" ht="15">
      <c r="A1" s="289" t="s">
        <v>698</v>
      </c>
      <c r="B1" s="289"/>
      <c r="C1" s="289"/>
      <c r="D1" s="289"/>
      <c r="E1" s="289"/>
      <c r="F1" s="289"/>
      <c r="G1" s="289"/>
      <c r="H1" s="290"/>
      <c r="I1" s="290"/>
      <c r="J1" s="291"/>
      <c r="K1" s="289" t="s">
        <v>699</v>
      </c>
      <c r="L1" s="289"/>
      <c r="M1" s="289"/>
      <c r="N1" s="291"/>
      <c r="O1" s="291"/>
      <c r="P1" s="291"/>
      <c r="Q1" s="291"/>
      <c r="R1" s="291"/>
      <c r="S1" s="291"/>
      <c r="T1" s="291"/>
      <c r="U1" s="291"/>
      <c r="V1" s="292"/>
      <c r="W1" s="291"/>
      <c r="X1" s="291"/>
      <c r="Y1" s="291"/>
      <c r="Z1" s="291"/>
      <c r="AA1" s="291"/>
      <c r="AB1" s="291"/>
      <c r="AC1" s="291"/>
      <c r="AD1" s="291"/>
      <c r="AE1" s="291"/>
      <c r="AF1" s="291"/>
      <c r="AG1" s="291"/>
      <c r="AH1" s="291"/>
      <c r="AI1" s="291"/>
      <c r="AJ1" s="291"/>
      <c r="AK1" s="293"/>
      <c r="AL1" s="293"/>
      <c r="AM1" s="293"/>
    </row>
    <row r="2" spans="1:39" s="294" customFormat="1" ht="33" customHeight="1">
      <c r="B2" s="295"/>
      <c r="C2" s="295"/>
      <c r="D2" s="408" t="s">
        <v>233</v>
      </c>
      <c r="E2" s="409"/>
      <c r="F2" s="409"/>
      <c r="G2" s="409"/>
      <c r="H2" s="409"/>
      <c r="I2" s="410"/>
      <c r="J2" s="407" t="s">
        <v>234</v>
      </c>
      <c r="K2" s="407"/>
      <c r="L2" s="407"/>
      <c r="M2" s="407"/>
      <c r="N2" s="407"/>
      <c r="O2" s="407"/>
      <c r="P2" s="407"/>
      <c r="Q2" s="407"/>
      <c r="R2" s="407"/>
      <c r="S2" s="407"/>
      <c r="T2" s="407" t="s">
        <v>700</v>
      </c>
      <c r="U2" s="407"/>
      <c r="V2" s="407"/>
      <c r="W2" s="407"/>
      <c r="X2" s="407"/>
      <c r="Y2" s="407"/>
      <c r="Z2" s="407"/>
      <c r="AA2" s="407"/>
      <c r="AB2" s="407"/>
      <c r="AC2" s="407"/>
      <c r="AD2" s="407"/>
      <c r="AE2" s="407"/>
      <c r="AF2" s="407"/>
      <c r="AG2" s="407"/>
      <c r="AH2" s="407"/>
      <c r="AI2" s="407"/>
      <c r="AJ2" s="296"/>
      <c r="AK2" s="296"/>
      <c r="AL2" s="405" t="s">
        <v>701</v>
      </c>
      <c r="AM2" s="405"/>
    </row>
    <row r="3" spans="1:39" ht="15">
      <c r="A3" s="403" t="s">
        <v>235</v>
      </c>
      <c r="B3" s="403" t="s">
        <v>218</v>
      </c>
      <c r="C3" s="403" t="s">
        <v>236</v>
      </c>
      <c r="D3" s="403" t="s">
        <v>237</v>
      </c>
      <c r="E3" s="403"/>
      <c r="F3" s="403" t="s">
        <v>238</v>
      </c>
      <c r="G3" s="403"/>
      <c r="H3" s="403" t="s">
        <v>559</v>
      </c>
      <c r="I3" s="403" t="s">
        <v>558</v>
      </c>
      <c r="J3" s="404" t="s">
        <v>239</v>
      </c>
      <c r="K3" s="404" t="s">
        <v>240</v>
      </c>
      <c r="L3" s="404" t="s">
        <v>241</v>
      </c>
      <c r="M3" s="404" t="s">
        <v>242</v>
      </c>
      <c r="N3" s="403" t="s">
        <v>243</v>
      </c>
      <c r="O3" s="403"/>
      <c r="P3" s="403" t="s">
        <v>244</v>
      </c>
      <c r="Q3" s="403"/>
      <c r="R3" s="403"/>
      <c r="S3" s="403" t="s">
        <v>245</v>
      </c>
      <c r="T3" s="403" t="s">
        <v>547</v>
      </c>
      <c r="U3" s="403" t="s">
        <v>549</v>
      </c>
      <c r="V3" s="406" t="s">
        <v>246</v>
      </c>
      <c r="W3" s="403" t="s">
        <v>247</v>
      </c>
      <c r="X3" s="403" t="s">
        <v>546</v>
      </c>
      <c r="Y3" s="403" t="s">
        <v>548</v>
      </c>
      <c r="Z3" s="403" t="s">
        <v>544</v>
      </c>
      <c r="AA3" s="403" t="s">
        <v>702</v>
      </c>
      <c r="AB3" s="403" t="s">
        <v>550</v>
      </c>
      <c r="AC3" s="403" t="s">
        <v>551</v>
      </c>
      <c r="AD3" s="403" t="s">
        <v>702</v>
      </c>
      <c r="AE3" s="403" t="s">
        <v>552</v>
      </c>
      <c r="AF3" s="404" t="s">
        <v>702</v>
      </c>
      <c r="AG3" s="404" t="s">
        <v>553</v>
      </c>
      <c r="AH3" s="404" t="s">
        <v>702</v>
      </c>
      <c r="AI3" s="404" t="s">
        <v>545</v>
      </c>
      <c r="AJ3" s="404" t="s">
        <v>554</v>
      </c>
      <c r="AK3" s="404" t="s">
        <v>555</v>
      </c>
      <c r="AL3" s="403" t="s">
        <v>248</v>
      </c>
      <c r="AM3" s="403" t="s">
        <v>249</v>
      </c>
    </row>
    <row r="4" spans="1:39" ht="15">
      <c r="A4" s="403"/>
      <c r="B4" s="403"/>
      <c r="C4" s="403"/>
      <c r="D4" s="403"/>
      <c r="E4" s="403"/>
      <c r="F4" s="403"/>
      <c r="G4" s="403"/>
      <c r="H4" s="403"/>
      <c r="I4" s="403"/>
      <c r="J4" s="404"/>
      <c r="K4" s="404"/>
      <c r="L4" s="404"/>
      <c r="M4" s="404"/>
      <c r="N4" s="403"/>
      <c r="O4" s="403"/>
      <c r="P4" s="403"/>
      <c r="Q4" s="403"/>
      <c r="R4" s="403"/>
      <c r="S4" s="403"/>
      <c r="T4" s="403"/>
      <c r="U4" s="403"/>
      <c r="V4" s="406"/>
      <c r="W4" s="403"/>
      <c r="X4" s="403"/>
      <c r="Y4" s="403"/>
      <c r="Z4" s="403"/>
      <c r="AA4" s="403"/>
      <c r="AB4" s="403"/>
      <c r="AC4" s="403"/>
      <c r="AD4" s="403"/>
      <c r="AE4" s="403"/>
      <c r="AF4" s="404"/>
      <c r="AG4" s="404"/>
      <c r="AH4" s="404"/>
      <c r="AI4" s="404"/>
      <c r="AJ4" s="404"/>
      <c r="AK4" s="404"/>
      <c r="AL4" s="403"/>
      <c r="AM4" s="403"/>
    </row>
    <row r="5" spans="1:39" ht="84" customHeight="1">
      <c r="A5" s="403"/>
      <c r="B5" s="403"/>
      <c r="C5" s="403"/>
      <c r="D5" s="297" t="s">
        <v>250</v>
      </c>
      <c r="E5" s="297" t="s">
        <v>251</v>
      </c>
      <c r="F5" s="297" t="s">
        <v>556</v>
      </c>
      <c r="G5" s="297" t="s">
        <v>557</v>
      </c>
      <c r="H5" s="403"/>
      <c r="I5" s="403"/>
      <c r="J5" s="404"/>
      <c r="K5" s="404"/>
      <c r="L5" s="404"/>
      <c r="M5" s="404"/>
      <c r="N5" s="297" t="s">
        <v>250</v>
      </c>
      <c r="O5" s="297" t="s">
        <v>251</v>
      </c>
      <c r="P5" s="297" t="s">
        <v>252</v>
      </c>
      <c r="Q5" s="297" t="s">
        <v>251</v>
      </c>
      <c r="R5" s="297" t="s">
        <v>253</v>
      </c>
      <c r="S5" s="403"/>
      <c r="T5" s="403"/>
      <c r="U5" s="403"/>
      <c r="V5" s="406"/>
      <c r="W5" s="403"/>
      <c r="X5" s="403"/>
      <c r="Y5" s="403"/>
      <c r="Z5" s="403"/>
      <c r="AA5" s="403"/>
      <c r="AB5" s="403"/>
      <c r="AC5" s="403"/>
      <c r="AD5" s="403"/>
      <c r="AE5" s="403"/>
      <c r="AF5" s="404"/>
      <c r="AG5" s="404"/>
      <c r="AH5" s="404"/>
      <c r="AI5" s="404"/>
      <c r="AJ5" s="404"/>
      <c r="AK5" s="404"/>
      <c r="AL5" s="403"/>
      <c r="AM5" s="403"/>
    </row>
    <row r="6" spans="1:39" ht="15">
      <c r="A6" s="297">
        <v>1</v>
      </c>
      <c r="B6" s="298" t="s">
        <v>703</v>
      </c>
      <c r="C6" s="299">
        <v>4523180.1438334407</v>
      </c>
      <c r="D6" s="297">
        <v>19</v>
      </c>
      <c r="E6" s="297">
        <v>0</v>
      </c>
      <c r="F6" s="297">
        <v>77</v>
      </c>
      <c r="G6" s="297">
        <v>2</v>
      </c>
      <c r="H6" s="300">
        <v>4</v>
      </c>
      <c r="I6" s="300">
        <v>19</v>
      </c>
      <c r="J6" s="300">
        <v>3</v>
      </c>
      <c r="K6" s="300">
        <v>9</v>
      </c>
      <c r="L6" s="300">
        <v>21</v>
      </c>
      <c r="M6" s="300">
        <v>26</v>
      </c>
      <c r="N6" s="301">
        <v>1</v>
      </c>
      <c r="O6" s="301">
        <v>0</v>
      </c>
      <c r="P6" s="301">
        <v>0</v>
      </c>
      <c r="Q6" s="301">
        <v>0</v>
      </c>
      <c r="R6" s="301">
        <v>0</v>
      </c>
      <c r="S6" s="302"/>
      <c r="T6" s="303">
        <v>3866</v>
      </c>
      <c r="U6" s="304">
        <f>T6*100000/C6</f>
        <v>85.470838592856182</v>
      </c>
      <c r="V6" s="305">
        <v>246</v>
      </c>
      <c r="W6" s="306">
        <f>V6*100000/C6</f>
        <v>5.4386513951998499</v>
      </c>
      <c r="X6" s="307">
        <f>T6+V6</f>
        <v>4112</v>
      </c>
      <c r="Y6" s="306">
        <f>U6+W6</f>
        <v>90.909489988056038</v>
      </c>
      <c r="Z6" s="297">
        <v>313</v>
      </c>
      <c r="AA6" s="308">
        <f>Z6/X6</f>
        <v>7.611867704280155E-2</v>
      </c>
      <c r="AB6" s="297">
        <v>5739</v>
      </c>
      <c r="AC6" s="297">
        <v>5478</v>
      </c>
      <c r="AD6" s="308">
        <f>AC6/AB6</f>
        <v>0.95452169367485629</v>
      </c>
      <c r="AE6" s="297">
        <v>6435</v>
      </c>
      <c r="AF6" s="308">
        <f>AE6/X6</f>
        <v>1.564931906614786</v>
      </c>
      <c r="AG6" s="293">
        <v>4703</v>
      </c>
      <c r="AH6" s="309">
        <f>AG6/X6</f>
        <v>1.1437256809338521</v>
      </c>
      <c r="AI6" s="293">
        <v>130</v>
      </c>
      <c r="AJ6" s="310">
        <v>0.85263570448755632</v>
      </c>
      <c r="AK6" s="310">
        <v>0.79432989690721645</v>
      </c>
      <c r="AL6" s="311">
        <v>217</v>
      </c>
      <c r="AM6" s="309">
        <v>0.9</v>
      </c>
    </row>
    <row r="7" spans="1:39" ht="15">
      <c r="A7" s="297">
        <v>2</v>
      </c>
      <c r="B7" s="312" t="s">
        <v>704</v>
      </c>
      <c r="C7" s="299">
        <v>4601128.3084487393</v>
      </c>
      <c r="D7" s="297">
        <v>20</v>
      </c>
      <c r="E7" s="297">
        <v>0</v>
      </c>
      <c r="F7" s="297">
        <v>76</v>
      </c>
      <c r="G7" s="297">
        <v>7</v>
      </c>
      <c r="H7" s="300">
        <v>4</v>
      </c>
      <c r="I7" s="300">
        <v>20</v>
      </c>
      <c r="J7" s="300">
        <v>3</v>
      </c>
      <c r="K7" s="300">
        <v>7</v>
      </c>
      <c r="L7" s="300">
        <v>20</v>
      </c>
      <c r="M7" s="300">
        <v>107</v>
      </c>
      <c r="N7" s="301">
        <v>1</v>
      </c>
      <c r="O7" s="301">
        <v>0</v>
      </c>
      <c r="P7" s="301">
        <v>0</v>
      </c>
      <c r="Q7" s="301">
        <v>0</v>
      </c>
      <c r="R7" s="301">
        <v>1</v>
      </c>
      <c r="S7" s="301" t="s">
        <v>705</v>
      </c>
      <c r="T7" s="303">
        <v>4146</v>
      </c>
      <c r="U7" s="304">
        <f t="shared" ref="U7:U19" si="0">T7*100000/C7</f>
        <v>90.108332610220444</v>
      </c>
      <c r="V7" s="305">
        <v>2149</v>
      </c>
      <c r="W7" s="306">
        <f t="shared" ref="W7:W18" si="1">V7*100000/C7</f>
        <v>46.705935064969552</v>
      </c>
      <c r="X7" s="307">
        <f t="shared" ref="X7:Y19" si="2">T7+V7</f>
        <v>6295</v>
      </c>
      <c r="Y7" s="306">
        <f t="shared" si="2"/>
        <v>136.81426767519</v>
      </c>
      <c r="Z7" s="297">
        <v>462</v>
      </c>
      <c r="AA7" s="308">
        <f t="shared" ref="AA7:AA19" si="3">Z7/X7</f>
        <v>7.3391580619539321E-2</v>
      </c>
      <c r="AB7" s="297">
        <v>7333</v>
      </c>
      <c r="AC7" s="297">
        <v>7228</v>
      </c>
      <c r="AD7" s="308">
        <f t="shared" ref="AD7:AD19" si="4">AC7/AB7</f>
        <v>0.98568116732578759</v>
      </c>
      <c r="AE7" s="297">
        <v>7266</v>
      </c>
      <c r="AF7" s="308">
        <f t="shared" ref="AF7:AF19" si="5">AE7/X7</f>
        <v>1.1542494042891183</v>
      </c>
      <c r="AG7" s="293">
        <v>5684</v>
      </c>
      <c r="AH7" s="309">
        <f t="shared" ref="AH7:AH19" si="6">AG7/X7</f>
        <v>0.90293884034948368</v>
      </c>
      <c r="AI7" s="293">
        <v>146</v>
      </c>
      <c r="AJ7" s="310">
        <v>0.87932389937106914</v>
      </c>
      <c r="AK7" s="310">
        <v>0.9648184632704756</v>
      </c>
      <c r="AL7" s="311">
        <v>217</v>
      </c>
      <c r="AM7" s="309">
        <v>0.9</v>
      </c>
    </row>
    <row r="8" spans="1:39" ht="15">
      <c r="A8" s="297">
        <v>3</v>
      </c>
      <c r="B8" s="312" t="s">
        <v>706</v>
      </c>
      <c r="C8" s="299">
        <v>3160870.90072113</v>
      </c>
      <c r="D8" s="297">
        <v>13</v>
      </c>
      <c r="E8" s="297">
        <v>0</v>
      </c>
      <c r="F8" s="297">
        <v>58</v>
      </c>
      <c r="G8" s="297">
        <v>0</v>
      </c>
      <c r="H8" s="300">
        <v>2</v>
      </c>
      <c r="I8" s="300">
        <v>15</v>
      </c>
      <c r="J8" s="300">
        <v>2</v>
      </c>
      <c r="K8" s="300">
        <v>4</v>
      </c>
      <c r="L8" s="300">
        <v>14</v>
      </c>
      <c r="M8" s="300">
        <v>72</v>
      </c>
      <c r="N8" s="301">
        <v>1</v>
      </c>
      <c r="O8" s="301">
        <v>0</v>
      </c>
      <c r="P8" s="301">
        <v>0</v>
      </c>
      <c r="Q8" s="301">
        <v>0</v>
      </c>
      <c r="R8" s="301">
        <v>0</v>
      </c>
      <c r="S8" s="301"/>
      <c r="T8" s="303">
        <v>2677</v>
      </c>
      <c r="U8" s="304">
        <f t="shared" si="0"/>
        <v>84.691848673391306</v>
      </c>
      <c r="V8" s="305">
        <v>424</v>
      </c>
      <c r="W8" s="306">
        <f t="shared" si="1"/>
        <v>13.414024593768364</v>
      </c>
      <c r="X8" s="307">
        <f t="shared" si="2"/>
        <v>3101</v>
      </c>
      <c r="Y8" s="306">
        <f t="shared" si="2"/>
        <v>98.105873267159666</v>
      </c>
      <c r="Z8" s="297">
        <v>286</v>
      </c>
      <c r="AA8" s="308">
        <f t="shared" si="3"/>
        <v>9.222831344727507E-2</v>
      </c>
      <c r="AB8" s="297">
        <v>4642</v>
      </c>
      <c r="AC8" s="297">
        <v>4555</v>
      </c>
      <c r="AD8" s="308">
        <f t="shared" si="4"/>
        <v>0.98125807841447654</v>
      </c>
      <c r="AE8" s="297">
        <v>5712</v>
      </c>
      <c r="AF8" s="308">
        <f t="shared" si="5"/>
        <v>1.8419864559819412</v>
      </c>
      <c r="AG8" s="293">
        <v>4412</v>
      </c>
      <c r="AH8" s="309">
        <f t="shared" si="6"/>
        <v>1.4227668494034182</v>
      </c>
      <c r="AI8" s="293">
        <v>84</v>
      </c>
      <c r="AJ8" s="310">
        <v>0.92221443587946739</v>
      </c>
      <c r="AK8" s="310">
        <v>0.994994994994995</v>
      </c>
      <c r="AL8" s="311">
        <v>217</v>
      </c>
      <c r="AM8" s="309">
        <v>0.9</v>
      </c>
    </row>
    <row r="9" spans="1:39" ht="15">
      <c r="A9" s="297">
        <v>4</v>
      </c>
      <c r="B9" s="312" t="s">
        <v>707</v>
      </c>
      <c r="C9" s="299">
        <v>5393020.2223464428</v>
      </c>
      <c r="D9" s="297">
        <v>22</v>
      </c>
      <c r="E9" s="297">
        <v>2</v>
      </c>
      <c r="F9" s="297">
        <v>88</v>
      </c>
      <c r="G9" s="297">
        <v>3</v>
      </c>
      <c r="H9" s="300">
        <v>6</v>
      </c>
      <c r="I9" s="300">
        <v>26</v>
      </c>
      <c r="J9" s="300">
        <v>4</v>
      </c>
      <c r="K9" s="300">
        <v>10</v>
      </c>
      <c r="L9" s="300">
        <v>19</v>
      </c>
      <c r="M9" s="300">
        <v>126</v>
      </c>
      <c r="N9" s="301">
        <v>1</v>
      </c>
      <c r="O9" s="301">
        <v>0</v>
      </c>
      <c r="P9" s="301">
        <v>0</v>
      </c>
      <c r="Q9" s="301">
        <v>0</v>
      </c>
      <c r="R9" s="301">
        <v>0</v>
      </c>
      <c r="S9" s="301"/>
      <c r="T9" s="303">
        <v>3753</v>
      </c>
      <c r="U9" s="304">
        <f t="shared" si="0"/>
        <v>69.589948586677309</v>
      </c>
      <c r="V9" s="305">
        <v>1966</v>
      </c>
      <c r="W9" s="306">
        <f t="shared" si="1"/>
        <v>36.454526757635918</v>
      </c>
      <c r="X9" s="307">
        <f t="shared" si="2"/>
        <v>5719</v>
      </c>
      <c r="Y9" s="306">
        <f t="shared" si="2"/>
        <v>106.04447534431323</v>
      </c>
      <c r="Z9" s="297">
        <v>765</v>
      </c>
      <c r="AA9" s="308">
        <f t="shared" si="3"/>
        <v>0.13376464416856093</v>
      </c>
      <c r="AB9" s="297">
        <v>7272</v>
      </c>
      <c r="AC9" s="297">
        <v>7104</v>
      </c>
      <c r="AD9" s="308">
        <f t="shared" si="4"/>
        <v>0.97689768976897695</v>
      </c>
      <c r="AE9" s="297">
        <v>7342</v>
      </c>
      <c r="AF9" s="308">
        <f t="shared" si="5"/>
        <v>1.2837908725301626</v>
      </c>
      <c r="AG9" s="293">
        <v>4601</v>
      </c>
      <c r="AH9" s="309">
        <f t="shared" si="6"/>
        <v>0.80451127819548873</v>
      </c>
      <c r="AI9" s="293">
        <v>138</v>
      </c>
      <c r="AJ9" s="310">
        <v>0.86783082345402118</v>
      </c>
      <c r="AK9" s="310">
        <v>0.94213528932355339</v>
      </c>
      <c r="AL9" s="311">
        <v>217</v>
      </c>
      <c r="AM9" s="309">
        <v>0.9</v>
      </c>
    </row>
    <row r="10" spans="1:39" ht="15">
      <c r="A10" s="297">
        <v>5</v>
      </c>
      <c r="B10" s="312" t="s">
        <v>708</v>
      </c>
      <c r="C10" s="299">
        <v>5302318.160800335</v>
      </c>
      <c r="D10" s="297">
        <v>18</v>
      </c>
      <c r="E10" s="297">
        <v>4</v>
      </c>
      <c r="F10" s="297">
        <v>79</v>
      </c>
      <c r="G10" s="297">
        <v>5</v>
      </c>
      <c r="H10" s="300">
        <v>4</v>
      </c>
      <c r="I10" s="300">
        <v>19</v>
      </c>
      <c r="J10" s="300">
        <v>5</v>
      </c>
      <c r="K10" s="300">
        <v>9</v>
      </c>
      <c r="L10" s="300">
        <v>19</v>
      </c>
      <c r="M10" s="300">
        <v>65</v>
      </c>
      <c r="N10" s="301">
        <v>1</v>
      </c>
      <c r="O10" s="301">
        <v>0</v>
      </c>
      <c r="P10" s="301">
        <v>0</v>
      </c>
      <c r="Q10" s="301">
        <v>0</v>
      </c>
      <c r="R10" s="301">
        <v>0</v>
      </c>
      <c r="S10" s="301"/>
      <c r="T10" s="303">
        <v>4243</v>
      </c>
      <c r="U10" s="304">
        <f t="shared" si="0"/>
        <v>80.021603218158432</v>
      </c>
      <c r="V10" s="305">
        <v>2236</v>
      </c>
      <c r="W10" s="306">
        <f t="shared" si="1"/>
        <v>42.170234455762966</v>
      </c>
      <c r="X10" s="307">
        <f t="shared" si="2"/>
        <v>6479</v>
      </c>
      <c r="Y10" s="306">
        <f t="shared" si="2"/>
        <v>122.1918376739214</v>
      </c>
      <c r="Z10" s="297">
        <v>758</v>
      </c>
      <c r="AA10" s="308">
        <f t="shared" si="3"/>
        <v>0.11699336317332922</v>
      </c>
      <c r="AB10" s="297">
        <v>9384</v>
      </c>
      <c r="AC10" s="297">
        <v>9067</v>
      </c>
      <c r="AD10" s="308">
        <f t="shared" si="4"/>
        <v>0.9662190963341859</v>
      </c>
      <c r="AE10" s="297">
        <v>8701</v>
      </c>
      <c r="AF10" s="308">
        <f t="shared" si="5"/>
        <v>1.3429541595925296</v>
      </c>
      <c r="AG10" s="293">
        <v>4649</v>
      </c>
      <c r="AH10" s="309">
        <f t="shared" si="6"/>
        <v>0.71754900447599934</v>
      </c>
      <c r="AI10" s="293">
        <v>243</v>
      </c>
      <c r="AJ10" s="310">
        <v>0.83630393996247654</v>
      </c>
      <c r="AK10" s="310">
        <v>0.98206000618620481</v>
      </c>
      <c r="AL10" s="311">
        <v>217</v>
      </c>
      <c r="AM10" s="309">
        <v>0.9</v>
      </c>
    </row>
    <row r="11" spans="1:39" ht="15">
      <c r="A11" s="297">
        <v>6</v>
      </c>
      <c r="B11" s="312" t="s">
        <v>709</v>
      </c>
      <c r="C11" s="299">
        <v>4836115.9954859558</v>
      </c>
      <c r="D11" s="297">
        <v>19</v>
      </c>
      <c r="E11" s="297">
        <v>0</v>
      </c>
      <c r="F11" s="297">
        <v>75</v>
      </c>
      <c r="G11" s="297">
        <v>3</v>
      </c>
      <c r="H11" s="300">
        <v>4</v>
      </c>
      <c r="I11" s="300">
        <v>16</v>
      </c>
      <c r="J11" s="300">
        <v>4</v>
      </c>
      <c r="K11" s="300">
        <v>10</v>
      </c>
      <c r="L11" s="300">
        <v>118</v>
      </c>
      <c r="M11" s="300">
        <v>118</v>
      </c>
      <c r="N11" s="301">
        <v>0</v>
      </c>
      <c r="O11" s="301">
        <v>0</v>
      </c>
      <c r="P11" s="301">
        <v>1</v>
      </c>
      <c r="Q11" s="301">
        <v>0</v>
      </c>
      <c r="R11" s="301">
        <v>0</v>
      </c>
      <c r="S11" s="301"/>
      <c r="T11" s="303">
        <v>3021</v>
      </c>
      <c r="U11" s="304">
        <f t="shared" si="0"/>
        <v>62.467484295658124</v>
      </c>
      <c r="V11" s="305">
        <v>1176</v>
      </c>
      <c r="W11" s="306">
        <f t="shared" si="1"/>
        <v>24.317034601686181</v>
      </c>
      <c r="X11" s="307">
        <f t="shared" si="2"/>
        <v>4197</v>
      </c>
      <c r="Y11" s="306">
        <f t="shared" si="2"/>
        <v>86.784518897344299</v>
      </c>
      <c r="Z11" s="297">
        <v>459</v>
      </c>
      <c r="AA11" s="308">
        <f t="shared" si="3"/>
        <v>0.1093638313080772</v>
      </c>
      <c r="AB11" s="297">
        <v>6614</v>
      </c>
      <c r="AC11" s="297">
        <v>6376</v>
      </c>
      <c r="AD11" s="308">
        <f t="shared" si="4"/>
        <v>0.96401572422134862</v>
      </c>
      <c r="AE11" s="297">
        <v>7005</v>
      </c>
      <c r="AF11" s="308">
        <f t="shared" si="5"/>
        <v>1.6690493209435311</v>
      </c>
      <c r="AG11" s="293">
        <v>5161</v>
      </c>
      <c r="AH11" s="309">
        <f t="shared" si="6"/>
        <v>1.2296878722897309</v>
      </c>
      <c r="AI11" s="293">
        <v>150</v>
      </c>
      <c r="AJ11" s="310">
        <v>0.83227625088090207</v>
      </c>
      <c r="AK11" s="310">
        <v>0.85346413243408947</v>
      </c>
      <c r="AL11" s="311">
        <v>217</v>
      </c>
      <c r="AM11" s="309">
        <v>0.9</v>
      </c>
    </row>
    <row r="12" spans="1:39" ht="15">
      <c r="A12" s="297">
        <v>7</v>
      </c>
      <c r="B12" s="312" t="s">
        <v>710</v>
      </c>
      <c r="C12" s="299">
        <v>4591225.2668830957</v>
      </c>
      <c r="D12" s="297">
        <v>18</v>
      </c>
      <c r="E12" s="297">
        <v>0</v>
      </c>
      <c r="F12" s="297">
        <v>78</v>
      </c>
      <c r="G12" s="297">
        <v>3</v>
      </c>
      <c r="H12" s="300">
        <v>3</v>
      </c>
      <c r="I12" s="300">
        <v>20</v>
      </c>
      <c r="J12" s="300">
        <v>1</v>
      </c>
      <c r="K12" s="300">
        <v>5</v>
      </c>
      <c r="L12" s="300">
        <v>14</v>
      </c>
      <c r="M12" s="300">
        <v>56</v>
      </c>
      <c r="N12" s="301"/>
      <c r="O12" s="301">
        <v>0</v>
      </c>
      <c r="P12" s="301">
        <v>0</v>
      </c>
      <c r="Q12" s="301">
        <v>0</v>
      </c>
      <c r="R12" s="301">
        <v>0</v>
      </c>
      <c r="S12" s="301"/>
      <c r="T12" s="303">
        <v>4208</v>
      </c>
      <c r="U12" s="304">
        <f t="shared" si="0"/>
        <v>91.653093790728747</v>
      </c>
      <c r="V12" s="305">
        <v>1462</v>
      </c>
      <c r="W12" s="306">
        <f t="shared" si="1"/>
        <v>31.843351502387222</v>
      </c>
      <c r="X12" s="307">
        <f t="shared" si="2"/>
        <v>5670</v>
      </c>
      <c r="Y12" s="306">
        <f t="shared" si="2"/>
        <v>123.49644529311597</v>
      </c>
      <c r="Z12" s="297">
        <v>895</v>
      </c>
      <c r="AA12" s="308">
        <f t="shared" si="3"/>
        <v>0.15784832451499117</v>
      </c>
      <c r="AB12" s="297">
        <v>9474</v>
      </c>
      <c r="AC12" s="297">
        <v>9275</v>
      </c>
      <c r="AD12" s="308">
        <f t="shared" si="4"/>
        <v>0.97899514460629089</v>
      </c>
      <c r="AE12" s="297">
        <v>10054</v>
      </c>
      <c r="AF12" s="308">
        <f t="shared" si="5"/>
        <v>1.7731922398589066</v>
      </c>
      <c r="AG12" s="293">
        <v>6544</v>
      </c>
      <c r="AH12" s="309">
        <f t="shared" si="6"/>
        <v>1.1541446208112875</v>
      </c>
      <c r="AI12" s="293">
        <v>138</v>
      </c>
      <c r="AJ12" s="310">
        <v>0.89082568807339446</v>
      </c>
      <c r="AK12" s="310">
        <v>0.93994834266035299</v>
      </c>
      <c r="AL12" s="311">
        <v>217</v>
      </c>
      <c r="AM12" s="309">
        <v>0.9</v>
      </c>
    </row>
    <row r="13" spans="1:39" ht="15">
      <c r="A13" s="297">
        <v>8</v>
      </c>
      <c r="B13" s="312" t="s">
        <v>711</v>
      </c>
      <c r="C13" s="299">
        <v>3256832.1783887469</v>
      </c>
      <c r="D13" s="297">
        <v>16</v>
      </c>
      <c r="E13" s="297">
        <v>0</v>
      </c>
      <c r="F13" s="297">
        <v>58</v>
      </c>
      <c r="G13" s="297">
        <v>3</v>
      </c>
      <c r="H13" s="300">
        <v>2</v>
      </c>
      <c r="I13" s="300">
        <v>19</v>
      </c>
      <c r="J13" s="300">
        <v>2</v>
      </c>
      <c r="K13" s="300">
        <v>3</v>
      </c>
      <c r="L13" s="300">
        <v>10</v>
      </c>
      <c r="M13" s="300">
        <v>84</v>
      </c>
      <c r="N13" s="301">
        <v>1</v>
      </c>
      <c r="O13" s="301">
        <v>0</v>
      </c>
      <c r="P13" s="301">
        <v>0</v>
      </c>
      <c r="Q13" s="301">
        <v>0</v>
      </c>
      <c r="R13" s="301">
        <v>0</v>
      </c>
      <c r="S13" s="301" t="s">
        <v>705</v>
      </c>
      <c r="T13" s="303">
        <v>2401</v>
      </c>
      <c r="U13" s="304">
        <f t="shared" si="0"/>
        <v>73.72194416194472</v>
      </c>
      <c r="V13" s="305">
        <v>851</v>
      </c>
      <c r="W13" s="306">
        <f t="shared" si="1"/>
        <v>26.129685331867954</v>
      </c>
      <c r="X13" s="307">
        <f t="shared" si="2"/>
        <v>3252</v>
      </c>
      <c r="Y13" s="306">
        <f t="shared" si="2"/>
        <v>99.85162949381268</v>
      </c>
      <c r="Z13" s="297">
        <v>199</v>
      </c>
      <c r="AA13" s="308">
        <f t="shared" si="3"/>
        <v>6.1193111931119308E-2</v>
      </c>
      <c r="AB13" s="297">
        <v>4262</v>
      </c>
      <c r="AC13" s="297">
        <v>4096</v>
      </c>
      <c r="AD13" s="308">
        <f t="shared" si="4"/>
        <v>0.96105114969497885</v>
      </c>
      <c r="AE13" s="297">
        <v>4313</v>
      </c>
      <c r="AF13" s="308">
        <f t="shared" si="5"/>
        <v>1.3262607626076262</v>
      </c>
      <c r="AG13" s="293">
        <v>3097</v>
      </c>
      <c r="AH13" s="309">
        <f t="shared" si="6"/>
        <v>0.95233702337023374</v>
      </c>
      <c r="AI13" s="293">
        <v>143</v>
      </c>
      <c r="AJ13" s="310">
        <v>0.87260273972602742</v>
      </c>
      <c r="AK13" s="310">
        <v>0.97347670250896057</v>
      </c>
      <c r="AL13" s="311">
        <v>217</v>
      </c>
      <c r="AM13" s="309">
        <v>0.9</v>
      </c>
    </row>
    <row r="14" spans="1:39" ht="15">
      <c r="A14" s="297">
        <v>9</v>
      </c>
      <c r="B14" s="312" t="s">
        <v>712</v>
      </c>
      <c r="C14" s="299">
        <v>3733488.175935972</v>
      </c>
      <c r="D14" s="297">
        <v>17</v>
      </c>
      <c r="E14" s="297">
        <v>0</v>
      </c>
      <c r="F14" s="297">
        <v>68</v>
      </c>
      <c r="G14" s="297">
        <v>1</v>
      </c>
      <c r="H14" s="300">
        <v>2</v>
      </c>
      <c r="I14" s="300">
        <v>18</v>
      </c>
      <c r="J14" s="300">
        <v>3</v>
      </c>
      <c r="K14" s="300">
        <v>2</v>
      </c>
      <c r="L14" s="300">
        <v>15</v>
      </c>
      <c r="M14" s="300">
        <v>26</v>
      </c>
      <c r="N14" s="301">
        <v>0</v>
      </c>
      <c r="O14" s="301">
        <v>0</v>
      </c>
      <c r="P14" s="301">
        <v>0</v>
      </c>
      <c r="Q14" s="301">
        <v>0</v>
      </c>
      <c r="R14" s="301">
        <v>0</v>
      </c>
      <c r="S14" s="301"/>
      <c r="T14" s="303">
        <v>2561</v>
      </c>
      <c r="U14" s="304">
        <f t="shared" si="0"/>
        <v>68.595369244954597</v>
      </c>
      <c r="V14" s="305">
        <v>809</v>
      </c>
      <c r="W14" s="306">
        <f t="shared" si="1"/>
        <v>21.668744130873982</v>
      </c>
      <c r="X14" s="307">
        <f t="shared" si="2"/>
        <v>3370</v>
      </c>
      <c r="Y14" s="306">
        <f t="shared" si="2"/>
        <v>90.264113375828572</v>
      </c>
      <c r="Z14" s="297">
        <v>343</v>
      </c>
      <c r="AA14" s="308">
        <f t="shared" si="3"/>
        <v>0.10178041543026706</v>
      </c>
      <c r="AB14" s="297">
        <v>5029</v>
      </c>
      <c r="AC14" s="297">
        <v>4919</v>
      </c>
      <c r="AD14" s="308">
        <f t="shared" si="4"/>
        <v>0.97812686418771122</v>
      </c>
      <c r="AE14" s="297">
        <v>5883</v>
      </c>
      <c r="AF14" s="308">
        <f t="shared" si="5"/>
        <v>1.7456973293768545</v>
      </c>
      <c r="AG14" s="293">
        <v>3265</v>
      </c>
      <c r="AH14" s="309">
        <f t="shared" si="6"/>
        <v>0.96884272997032639</v>
      </c>
      <c r="AI14" s="293">
        <v>132</v>
      </c>
      <c r="AJ14" s="310">
        <v>0.8627502634351949</v>
      </c>
      <c r="AK14" s="310">
        <v>0.98166189111747848</v>
      </c>
      <c r="AL14" s="311">
        <v>217</v>
      </c>
      <c r="AM14" s="309">
        <v>0.9</v>
      </c>
    </row>
    <row r="15" spans="1:39" ht="15">
      <c r="A15" s="297">
        <v>10</v>
      </c>
      <c r="B15" s="312" t="s">
        <v>713</v>
      </c>
      <c r="C15" s="299">
        <v>2861294.2138695433</v>
      </c>
      <c r="D15" s="297">
        <v>12</v>
      </c>
      <c r="E15" s="297">
        <v>0</v>
      </c>
      <c r="F15" s="297">
        <v>60</v>
      </c>
      <c r="G15" s="297">
        <v>2</v>
      </c>
      <c r="H15" s="300">
        <v>2</v>
      </c>
      <c r="I15" s="300">
        <v>20</v>
      </c>
      <c r="J15" s="300">
        <v>1</v>
      </c>
      <c r="K15" s="300">
        <v>6</v>
      </c>
      <c r="L15" s="300">
        <v>15</v>
      </c>
      <c r="M15" s="300">
        <v>54</v>
      </c>
      <c r="N15" s="301">
        <v>1</v>
      </c>
      <c r="O15" s="301">
        <v>0</v>
      </c>
      <c r="P15" s="301">
        <v>0</v>
      </c>
      <c r="Q15" s="301">
        <v>0</v>
      </c>
      <c r="R15" s="301">
        <v>0</v>
      </c>
      <c r="S15" s="301"/>
      <c r="T15" s="303">
        <v>1960</v>
      </c>
      <c r="U15" s="304">
        <f t="shared" si="0"/>
        <v>68.500470538796662</v>
      </c>
      <c r="V15" s="305">
        <v>196</v>
      </c>
      <c r="W15" s="306">
        <f t="shared" si="1"/>
        <v>6.8500470538796661</v>
      </c>
      <c r="X15" s="307">
        <f t="shared" si="2"/>
        <v>2156</v>
      </c>
      <c r="Y15" s="306">
        <f t="shared" si="2"/>
        <v>75.350517592676326</v>
      </c>
      <c r="Z15" s="297">
        <v>290</v>
      </c>
      <c r="AA15" s="308">
        <f t="shared" si="3"/>
        <v>0.13450834879406309</v>
      </c>
      <c r="AB15" s="297">
        <v>3729</v>
      </c>
      <c r="AC15" s="297">
        <v>3618</v>
      </c>
      <c r="AD15" s="308">
        <f t="shared" si="4"/>
        <v>0.97023330651649231</v>
      </c>
      <c r="AE15" s="297">
        <v>3907</v>
      </c>
      <c r="AF15" s="308">
        <f t="shared" si="5"/>
        <v>1.8121521335807049</v>
      </c>
      <c r="AG15" s="293">
        <v>2780</v>
      </c>
      <c r="AH15" s="309">
        <f t="shared" si="6"/>
        <v>1.2894248608534322</v>
      </c>
      <c r="AI15" s="293">
        <v>65</v>
      </c>
      <c r="AJ15" s="310">
        <v>0.89951426836672743</v>
      </c>
      <c r="AK15" s="310">
        <v>0.84150326797385622</v>
      </c>
      <c r="AL15" s="311">
        <v>217</v>
      </c>
      <c r="AM15" s="309">
        <v>0.9</v>
      </c>
    </row>
    <row r="16" spans="1:39" ht="15">
      <c r="A16" s="297">
        <v>11</v>
      </c>
      <c r="B16" s="312" t="s">
        <v>714</v>
      </c>
      <c r="C16" s="299">
        <v>4749686.197155063</v>
      </c>
      <c r="D16" s="297">
        <v>27</v>
      </c>
      <c r="E16" s="297">
        <v>0</v>
      </c>
      <c r="F16" s="297">
        <v>89</v>
      </c>
      <c r="G16" s="297">
        <v>2</v>
      </c>
      <c r="H16" s="300">
        <v>6</v>
      </c>
      <c r="I16" s="300">
        <v>17</v>
      </c>
      <c r="J16" s="300">
        <v>4</v>
      </c>
      <c r="K16" s="300">
        <v>10</v>
      </c>
      <c r="L16" s="300">
        <v>21</v>
      </c>
      <c r="M16" s="300">
        <v>85</v>
      </c>
      <c r="N16" s="301">
        <v>1</v>
      </c>
      <c r="O16" s="301">
        <v>0</v>
      </c>
      <c r="P16" s="301">
        <v>1</v>
      </c>
      <c r="Q16" s="301">
        <v>0</v>
      </c>
      <c r="R16" s="301">
        <v>0</v>
      </c>
      <c r="S16" s="301" t="s">
        <v>705</v>
      </c>
      <c r="T16" s="303">
        <v>4265</v>
      </c>
      <c r="U16" s="304">
        <f t="shared" si="0"/>
        <v>89.795405906070656</v>
      </c>
      <c r="V16" s="305">
        <v>2667</v>
      </c>
      <c r="W16" s="306">
        <f t="shared" si="1"/>
        <v>56.151077972213464</v>
      </c>
      <c r="X16" s="307">
        <f t="shared" si="2"/>
        <v>6932</v>
      </c>
      <c r="Y16" s="306">
        <f t="shared" si="2"/>
        <v>145.94648387828411</v>
      </c>
      <c r="Z16" s="297">
        <v>965</v>
      </c>
      <c r="AA16" s="308">
        <f t="shared" si="3"/>
        <v>0.13920946335833814</v>
      </c>
      <c r="AB16" s="297">
        <v>9529</v>
      </c>
      <c r="AC16" s="297">
        <v>9324</v>
      </c>
      <c r="AD16" s="308">
        <f t="shared" si="4"/>
        <v>0.97848672473501941</v>
      </c>
      <c r="AE16" s="297">
        <v>8851</v>
      </c>
      <c r="AF16" s="308">
        <f t="shared" si="5"/>
        <v>1.2768320830929025</v>
      </c>
      <c r="AG16" s="293">
        <v>4665</v>
      </c>
      <c r="AH16" s="309">
        <f t="shared" si="6"/>
        <v>0.67296595499134448</v>
      </c>
      <c r="AI16" s="293">
        <v>147</v>
      </c>
      <c r="AJ16" s="310">
        <v>0.88289839713869389</v>
      </c>
      <c r="AK16" s="310">
        <v>0.90784671532846717</v>
      </c>
      <c r="AL16" s="311">
        <v>217</v>
      </c>
      <c r="AM16" s="309">
        <v>0.9</v>
      </c>
    </row>
    <row r="17" spans="1:39" ht="15">
      <c r="A17" s="297">
        <v>12</v>
      </c>
      <c r="B17" s="312" t="s">
        <v>715</v>
      </c>
      <c r="C17" s="299">
        <v>2433613.7372097364</v>
      </c>
      <c r="D17" s="297">
        <v>14</v>
      </c>
      <c r="E17" s="297">
        <v>0</v>
      </c>
      <c r="F17" s="297">
        <v>61</v>
      </c>
      <c r="G17" s="297">
        <v>1</v>
      </c>
      <c r="H17" s="300">
        <v>2</v>
      </c>
      <c r="I17" s="300">
        <v>14</v>
      </c>
      <c r="J17" s="300">
        <v>1</v>
      </c>
      <c r="K17" s="300">
        <v>7</v>
      </c>
      <c r="L17" s="300">
        <v>12</v>
      </c>
      <c r="M17" s="300">
        <v>70</v>
      </c>
      <c r="N17" s="301">
        <v>1</v>
      </c>
      <c r="O17" s="301">
        <v>0</v>
      </c>
      <c r="P17" s="301">
        <v>0</v>
      </c>
      <c r="Q17" s="301">
        <v>0</v>
      </c>
      <c r="R17" s="301">
        <v>0</v>
      </c>
      <c r="S17" s="301"/>
      <c r="T17" s="303">
        <v>2149</v>
      </c>
      <c r="U17" s="304">
        <f t="shared" si="0"/>
        <v>88.304892725660707</v>
      </c>
      <c r="V17" s="305">
        <v>475</v>
      </c>
      <c r="W17" s="306">
        <f t="shared" si="1"/>
        <v>19.51829876439685</v>
      </c>
      <c r="X17" s="307">
        <f t="shared" si="2"/>
        <v>2624</v>
      </c>
      <c r="Y17" s="306">
        <f t="shared" si="2"/>
        <v>107.82319149005755</v>
      </c>
      <c r="Z17" s="297">
        <v>307</v>
      </c>
      <c r="AA17" s="308">
        <f t="shared" si="3"/>
        <v>0.1169969512195122</v>
      </c>
      <c r="AB17" s="297">
        <v>3637</v>
      </c>
      <c r="AC17" s="297">
        <v>3511</v>
      </c>
      <c r="AD17" s="308">
        <f t="shared" si="4"/>
        <v>0.9653560626890294</v>
      </c>
      <c r="AE17" s="297">
        <v>4305</v>
      </c>
      <c r="AF17" s="308">
        <f t="shared" si="5"/>
        <v>1.640625</v>
      </c>
      <c r="AG17" s="293">
        <v>3059</v>
      </c>
      <c r="AH17" s="309">
        <f t="shared" si="6"/>
        <v>1.1657774390243902</v>
      </c>
      <c r="AI17" s="293">
        <v>42</v>
      </c>
      <c r="AJ17" s="310">
        <v>0.86293436293436299</v>
      </c>
      <c r="AK17" s="310">
        <v>0.93157262905162064</v>
      </c>
      <c r="AL17" s="311">
        <v>217</v>
      </c>
      <c r="AM17" s="309">
        <v>0.9</v>
      </c>
    </row>
    <row r="18" spans="1:39" ht="15">
      <c r="A18" s="297">
        <v>13</v>
      </c>
      <c r="B18" s="312" t="s">
        <v>716</v>
      </c>
      <c r="C18" s="299">
        <v>4061068.7005495746</v>
      </c>
      <c r="D18" s="297">
        <v>18</v>
      </c>
      <c r="E18" s="297">
        <v>0</v>
      </c>
      <c r="F18" s="297">
        <v>78</v>
      </c>
      <c r="G18" s="297">
        <v>3</v>
      </c>
      <c r="H18" s="300">
        <v>4</v>
      </c>
      <c r="I18" s="300">
        <v>17</v>
      </c>
      <c r="J18" s="300">
        <v>3</v>
      </c>
      <c r="K18" s="300">
        <v>7</v>
      </c>
      <c r="L18" s="300">
        <v>15</v>
      </c>
      <c r="M18" s="300">
        <v>78</v>
      </c>
      <c r="N18" s="301">
        <v>0</v>
      </c>
      <c r="O18" s="301">
        <v>0</v>
      </c>
      <c r="P18" s="301">
        <v>0</v>
      </c>
      <c r="Q18" s="301">
        <v>0</v>
      </c>
      <c r="R18" s="301">
        <v>0</v>
      </c>
      <c r="S18" s="301"/>
      <c r="T18" s="303">
        <v>2945</v>
      </c>
      <c r="U18" s="304">
        <f t="shared" si="0"/>
        <v>72.517857173937003</v>
      </c>
      <c r="V18" s="305">
        <v>1048</v>
      </c>
      <c r="W18" s="306">
        <f t="shared" si="1"/>
        <v>25.806015048653983</v>
      </c>
      <c r="X18" s="307">
        <f t="shared" si="2"/>
        <v>3993</v>
      </c>
      <c r="Y18" s="306">
        <f t="shared" si="2"/>
        <v>98.323872222590978</v>
      </c>
      <c r="Z18" s="297">
        <v>319</v>
      </c>
      <c r="AA18" s="308">
        <f t="shared" si="3"/>
        <v>7.9889807162534437E-2</v>
      </c>
      <c r="AB18" s="297">
        <v>5600</v>
      </c>
      <c r="AC18" s="297">
        <v>5569</v>
      </c>
      <c r="AD18" s="308">
        <f t="shared" si="4"/>
        <v>0.99446428571428569</v>
      </c>
      <c r="AE18" s="297">
        <v>5994</v>
      </c>
      <c r="AF18" s="308">
        <f t="shared" si="5"/>
        <v>1.5011269722013523</v>
      </c>
      <c r="AG18" s="293">
        <v>4679</v>
      </c>
      <c r="AH18" s="309">
        <f t="shared" si="6"/>
        <v>1.1718006511394941</v>
      </c>
      <c r="AI18" s="293">
        <v>90</v>
      </c>
      <c r="AJ18" s="310">
        <v>0.92435094001790508</v>
      </c>
      <c r="AK18" s="310">
        <v>0.84633569739952719</v>
      </c>
      <c r="AL18" s="311">
        <v>217</v>
      </c>
      <c r="AM18" s="309">
        <v>0.9</v>
      </c>
    </row>
    <row r="19" spans="1:39" ht="15">
      <c r="A19" s="313"/>
      <c r="B19" s="313" t="s">
        <v>717</v>
      </c>
      <c r="C19" s="314">
        <f>SUM(C6:C18)</f>
        <v>53503842.201627769</v>
      </c>
      <c r="D19" s="314">
        <f t="shared" ref="D19:R19" si="7">SUM(D6:D18)</f>
        <v>233</v>
      </c>
      <c r="E19" s="314">
        <f t="shared" si="7"/>
        <v>6</v>
      </c>
      <c r="F19" s="314">
        <f t="shared" si="7"/>
        <v>945</v>
      </c>
      <c r="G19" s="314">
        <f t="shared" si="7"/>
        <v>35</v>
      </c>
      <c r="H19" s="314">
        <f t="shared" si="7"/>
        <v>45</v>
      </c>
      <c r="I19" s="314">
        <f t="shared" si="7"/>
        <v>240</v>
      </c>
      <c r="J19" s="314">
        <f t="shared" si="7"/>
        <v>36</v>
      </c>
      <c r="K19" s="314">
        <f t="shared" si="7"/>
        <v>89</v>
      </c>
      <c r="L19" s="314">
        <f t="shared" si="7"/>
        <v>313</v>
      </c>
      <c r="M19" s="314">
        <f t="shared" si="7"/>
        <v>967</v>
      </c>
      <c r="N19" s="314">
        <f t="shared" si="7"/>
        <v>9</v>
      </c>
      <c r="O19" s="314">
        <f t="shared" si="7"/>
        <v>0</v>
      </c>
      <c r="P19" s="314">
        <f t="shared" si="7"/>
        <v>2</v>
      </c>
      <c r="Q19" s="314">
        <f t="shared" si="7"/>
        <v>0</v>
      </c>
      <c r="R19" s="314">
        <f t="shared" si="7"/>
        <v>1</v>
      </c>
      <c r="S19" s="315"/>
      <c r="T19" s="316">
        <f>SUM(T6:T18)</f>
        <v>42195</v>
      </c>
      <c r="U19" s="317">
        <f t="shared" si="0"/>
        <v>78.863495150477775</v>
      </c>
      <c r="V19" s="316">
        <f>SUM(V6:V18)</f>
        <v>15705</v>
      </c>
      <c r="W19" s="318">
        <f>V19*100000/C19</f>
        <v>29.353032144525503</v>
      </c>
      <c r="X19" s="319">
        <f t="shared" si="2"/>
        <v>57900</v>
      </c>
      <c r="Y19" s="318">
        <f t="shared" si="2"/>
        <v>108.21652729500327</v>
      </c>
      <c r="Z19" s="320">
        <v>6361</v>
      </c>
      <c r="AA19" s="308">
        <f t="shared" si="3"/>
        <v>0.10986183074265976</v>
      </c>
      <c r="AB19" s="320">
        <v>82244</v>
      </c>
      <c r="AC19" s="320">
        <v>80120</v>
      </c>
      <c r="AD19" s="321">
        <f t="shared" si="4"/>
        <v>0.9741744078595399</v>
      </c>
      <c r="AE19" s="322">
        <f>SUM(AE6:AE18)</f>
        <v>85768</v>
      </c>
      <c r="AF19" s="321">
        <f t="shared" si="5"/>
        <v>1.4813126079447323</v>
      </c>
      <c r="AG19" s="322">
        <f>SUM(AG6:AG18)</f>
        <v>57299</v>
      </c>
      <c r="AH19" s="323">
        <f t="shared" si="6"/>
        <v>0.98962003454231429</v>
      </c>
      <c r="AI19" s="322">
        <f>SUM(AI6:AI18)</f>
        <v>1648</v>
      </c>
      <c r="AJ19" s="324">
        <v>0.87409639471000933</v>
      </c>
      <c r="AK19" s="324">
        <v>0.93090225852218256</v>
      </c>
      <c r="AL19" s="325">
        <v>217</v>
      </c>
      <c r="AM19" s="323">
        <v>0.9</v>
      </c>
    </row>
    <row r="20" spans="1:39" ht="15"/>
    <row r="21" spans="1:39" ht="15"/>
    <row r="22" spans="1:39" ht="15"/>
    <row r="23" spans="1:39" ht="15"/>
    <row r="24" spans="1:39" ht="15"/>
    <row r="25" spans="1:39" ht="15"/>
    <row r="26" spans="1:39" ht="15"/>
    <row r="27" spans="1:39" ht="15"/>
    <row r="28" spans="1:39" ht="15"/>
    <row r="29" spans="1:39" ht="15"/>
    <row r="30" spans="1:39" ht="15"/>
    <row r="31" spans="1:39" ht="15"/>
    <row r="32" spans="1:39" ht="15"/>
    <row r="33" ht="15"/>
    <row r="34" ht="15"/>
    <row r="35" ht="15"/>
    <row r="36" ht="15"/>
    <row r="37" ht="15"/>
    <row r="38" ht="15"/>
    <row r="39" ht="15"/>
    <row r="40" ht="15"/>
  </sheetData>
  <mergeCells count="38">
    <mergeCell ref="D2:I2"/>
    <mergeCell ref="S3:S5"/>
    <mergeCell ref="F3:G4"/>
    <mergeCell ref="W3:W5"/>
    <mergeCell ref="I3:I5"/>
    <mergeCell ref="A3:A5"/>
    <mergeCell ref="B3:B5"/>
    <mergeCell ref="C3:C5"/>
    <mergeCell ref="D3:E4"/>
    <mergeCell ref="J3:J5"/>
    <mergeCell ref="H3:H5"/>
    <mergeCell ref="T2:AI2"/>
    <mergeCell ref="AH3:AH5"/>
    <mergeCell ref="AI3:AI5"/>
    <mergeCell ref="X3:X5"/>
    <mergeCell ref="Y3:Y5"/>
    <mergeCell ref="J2:S2"/>
    <mergeCell ref="K3:K5"/>
    <mergeCell ref="L3:L5"/>
    <mergeCell ref="M3:M5"/>
    <mergeCell ref="N3:O4"/>
    <mergeCell ref="P3:R4"/>
    <mergeCell ref="AL2:AM2"/>
    <mergeCell ref="AJ3:AJ5"/>
    <mergeCell ref="AK3:AK5"/>
    <mergeCell ref="AL3:AL5"/>
    <mergeCell ref="AM3:AM5"/>
    <mergeCell ref="AA3:AA5"/>
    <mergeCell ref="AB3:AB5"/>
    <mergeCell ref="AF3:AF5"/>
    <mergeCell ref="AG3:AG5"/>
    <mergeCell ref="T3:T5"/>
    <mergeCell ref="U3:U5"/>
    <mergeCell ref="AD3:AD5"/>
    <mergeCell ref="V3:V5"/>
    <mergeCell ref="Z3:Z5"/>
    <mergeCell ref="AE3:AE5"/>
    <mergeCell ref="AC3:AC5"/>
  </mergeCells>
  <hyperlinks>
    <hyperlink ref="R6" r:id="rId1" display="javascript: void(%220%22)"/>
    <hyperlink ref="R7" r:id="rId2" display="javascript: void(%220%22)"/>
    <hyperlink ref="R8" r:id="rId3" display="javascript: void(%220%22)"/>
    <hyperlink ref="R9" r:id="rId4" display="javascript: void(%220%22)"/>
    <hyperlink ref="R10" r:id="rId5" display="javascript: void(%220%22)"/>
    <hyperlink ref="R11" r:id="rId6" display="javascript: void(%220%22)"/>
    <hyperlink ref="R12" r:id="rId7" display="javascript: void(%220%22)"/>
    <hyperlink ref="R13" r:id="rId8" display="javascript: void(%220%22)"/>
    <hyperlink ref="R14" r:id="rId9" display="javascript: void(%220%22)"/>
    <hyperlink ref="R15" r:id="rId10" display="javascript: void(%220%22)"/>
    <hyperlink ref="R16" r:id="rId11" display="javascript: void(%220%22)"/>
    <hyperlink ref="R17" r:id="rId12" display="javascript: void(%220%22)"/>
    <hyperlink ref="R18" r:id="rId13" display="javascript: void(%220%22)"/>
  </hyperlinks>
  <pageMargins left="0.70866141732283472" right="0.70866141732283472" top="0.74803149606299213" bottom="0.74803149606299213" header="0.31496062992125984" footer="0.31496062992125984"/>
  <pageSetup paperSize="5" orientation="landscape" verticalDpi="4294967295" r:id="rId14"/>
</worksheet>
</file>

<file path=xl/worksheets/sheet7.xml><?xml version="1.0" encoding="utf-8"?>
<worksheet xmlns="http://schemas.openxmlformats.org/spreadsheetml/2006/main" xmlns:r="http://schemas.openxmlformats.org/officeDocument/2006/relationships">
  <dimension ref="A1:I14"/>
  <sheetViews>
    <sheetView topLeftCell="A7" workbookViewId="0">
      <selection activeCell="A15" sqref="A15:XFD17"/>
    </sheetView>
  </sheetViews>
  <sheetFormatPr defaultColWidth="8.7109375" defaultRowHeight="15.75"/>
  <cols>
    <col min="1" max="1" width="21.7109375" style="245" customWidth="1"/>
    <col min="2" max="2" width="13.140625" style="245" customWidth="1"/>
    <col min="3" max="3" width="11" style="245" customWidth="1"/>
    <col min="4" max="4" width="11.28515625" style="245" customWidth="1"/>
    <col min="5" max="5" width="15.140625" style="245" customWidth="1"/>
    <col min="6" max="6" width="15" style="245" customWidth="1"/>
    <col min="7" max="7" width="15.42578125" style="245" customWidth="1"/>
    <col min="8" max="8" width="16.5703125" style="245" customWidth="1"/>
    <col min="9" max="9" width="29.7109375" style="245" customWidth="1"/>
    <col min="10" max="16384" width="8.7109375" style="245"/>
  </cols>
  <sheetData>
    <row r="1" spans="1:9" ht="18.75">
      <c r="A1" s="411" t="s">
        <v>630</v>
      </c>
      <c r="B1" s="411"/>
      <c r="C1" s="411"/>
      <c r="D1" s="411"/>
      <c r="E1" s="411"/>
      <c r="F1" s="411"/>
      <c r="G1" s="411"/>
      <c r="H1" s="411"/>
    </row>
    <row r="3" spans="1:9" s="246" customFormat="1" ht="63">
      <c r="A3" s="247" t="s">
        <v>631</v>
      </c>
      <c r="B3" s="248" t="s">
        <v>199</v>
      </c>
      <c r="C3" s="248" t="s">
        <v>632</v>
      </c>
      <c r="D3" s="248" t="s">
        <v>200</v>
      </c>
      <c r="E3" s="248" t="s">
        <v>632</v>
      </c>
      <c r="F3" s="248" t="s">
        <v>6</v>
      </c>
      <c r="G3" s="248" t="s">
        <v>633</v>
      </c>
      <c r="H3" s="249" t="s">
        <v>634</v>
      </c>
      <c r="I3" s="250" t="s">
        <v>635</v>
      </c>
    </row>
    <row r="4" spans="1:9" ht="141.75">
      <c r="A4" s="251" t="s">
        <v>636</v>
      </c>
      <c r="B4" s="252">
        <v>7</v>
      </c>
      <c r="C4" s="252" t="s">
        <v>754</v>
      </c>
      <c r="D4" s="252">
        <v>1</v>
      </c>
      <c r="E4" s="252" t="s">
        <v>755</v>
      </c>
      <c r="F4" s="350" t="s">
        <v>756</v>
      </c>
      <c r="G4" s="252" t="s">
        <v>757</v>
      </c>
      <c r="H4" s="253" t="s">
        <v>754</v>
      </c>
      <c r="I4" s="254" t="s">
        <v>758</v>
      </c>
    </row>
    <row r="5" spans="1:9" ht="31.5">
      <c r="A5" s="251" t="s">
        <v>637</v>
      </c>
      <c r="B5" s="252">
        <f>'[1]O II Public Health action'!C41</f>
        <v>0</v>
      </c>
      <c r="C5" s="252">
        <f>'[1]O II Public Health action'!D41</f>
        <v>0</v>
      </c>
      <c r="D5" s="252">
        <f>'[1]O II Public Health action'!E41</f>
        <v>0</v>
      </c>
      <c r="E5" s="252">
        <f>'[1]O II Public Health action'!F41</f>
        <v>0</v>
      </c>
      <c r="F5" s="252">
        <f>'[1]O II Public Health action'!G41</f>
        <v>0</v>
      </c>
      <c r="G5" s="252">
        <f>'[1]O II Public Health action'!H41</f>
        <v>0</v>
      </c>
      <c r="H5" s="253">
        <f>'[1]O II Public Health action'!I41</f>
        <v>0</v>
      </c>
      <c r="I5" s="255" t="s">
        <v>638</v>
      </c>
    </row>
    <row r="6" spans="1:9" ht="31.5">
      <c r="A6" s="251" t="s">
        <v>639</v>
      </c>
      <c r="B6" s="256">
        <f>'[1]O III Speciman Manegment'!C41</f>
        <v>0</v>
      </c>
      <c r="C6" s="256">
        <f>'[1]O III Speciman Manegment'!D41</f>
        <v>0</v>
      </c>
      <c r="D6" s="256">
        <f>'[1]O III Speciman Manegment'!E41</f>
        <v>0</v>
      </c>
      <c r="E6" s="256">
        <f>'[1]O III Speciman Manegment'!F41</f>
        <v>0</v>
      </c>
      <c r="F6" s="256">
        <f>'[1]O III Speciman Manegment'!G41</f>
        <v>0</v>
      </c>
      <c r="G6" s="256">
        <f>'[1]O III Speciman Manegment'!H41</f>
        <v>0</v>
      </c>
      <c r="H6" s="257">
        <f>'[1]O III Speciman Manegment'!I41</f>
        <v>0</v>
      </c>
      <c r="I6" s="255" t="s">
        <v>640</v>
      </c>
    </row>
    <row r="7" spans="1:9" ht="31.5">
      <c r="A7" s="251" t="s">
        <v>641</v>
      </c>
      <c r="B7" s="252">
        <v>10</v>
      </c>
      <c r="C7" s="252">
        <v>1400000</v>
      </c>
      <c r="D7" s="252" t="s">
        <v>757</v>
      </c>
      <c r="E7" s="252" t="s">
        <v>757</v>
      </c>
      <c r="F7" s="252" t="s">
        <v>759</v>
      </c>
      <c r="G7" s="252">
        <v>1400000</v>
      </c>
      <c r="H7" s="253" t="s">
        <v>759</v>
      </c>
      <c r="I7" s="351" t="s">
        <v>760</v>
      </c>
    </row>
    <row r="8" spans="1:9" ht="47.25">
      <c r="A8" s="251" t="s">
        <v>642</v>
      </c>
      <c r="B8" s="252">
        <f>'[1]O V Treatment Services'!C41</f>
        <v>0</v>
      </c>
      <c r="C8" s="252">
        <f>'[1]O V Treatment Services'!D41</f>
        <v>0</v>
      </c>
      <c r="D8" s="252">
        <f>'[1]O V Treatment Services'!E41</f>
        <v>0</v>
      </c>
      <c r="E8" s="252">
        <f>'[1]O V Treatment Services'!F41</f>
        <v>0</v>
      </c>
      <c r="F8" s="252">
        <f>'[1]O V Treatment Services'!G41</f>
        <v>0</v>
      </c>
      <c r="G8" s="252">
        <f>'[1]O V Treatment Services'!H41</f>
        <v>0</v>
      </c>
      <c r="H8" s="253">
        <f>'[1]O V Treatment Services'!I41</f>
        <v>0</v>
      </c>
      <c r="I8" s="255" t="s">
        <v>643</v>
      </c>
    </row>
    <row r="9" spans="1:9" ht="47.25">
      <c r="A9" s="251" t="s">
        <v>644</v>
      </c>
      <c r="B9" s="252">
        <f>'[1]O VI Drug Access'!C41</f>
        <v>0</v>
      </c>
      <c r="C9" s="252">
        <f>'[1]O VI Drug Access'!D41</f>
        <v>0</v>
      </c>
      <c r="D9" s="252">
        <f>'[1]O VI Drug Access'!E41</f>
        <v>0</v>
      </c>
      <c r="E9" s="252">
        <f>'[1]O VI Drug Access'!F41</f>
        <v>0</v>
      </c>
      <c r="F9" s="252">
        <f>'[1]O VI Drug Access'!G41</f>
        <v>0</v>
      </c>
      <c r="G9" s="252">
        <f>'[1]O VI Drug Access'!H41</f>
        <v>0</v>
      </c>
      <c r="H9" s="253">
        <f>'[1]O VI Drug Access'!I41</f>
        <v>0</v>
      </c>
      <c r="I9" s="254" t="s">
        <v>645</v>
      </c>
    </row>
    <row r="10" spans="1:9" ht="47.25">
      <c r="A10" s="251" t="s">
        <v>646</v>
      </c>
      <c r="B10" s="252" t="s">
        <v>761</v>
      </c>
      <c r="C10" s="252">
        <v>650000</v>
      </c>
      <c r="D10" s="252">
        <f>'[1]O VII ACF'!E41</f>
        <v>0</v>
      </c>
      <c r="E10" s="252">
        <f>'[1]O VII ACF'!F41</f>
        <v>0</v>
      </c>
      <c r="F10" s="252">
        <f>'[1]O VII ACF'!G41</f>
        <v>0</v>
      </c>
      <c r="G10" s="252">
        <v>650000</v>
      </c>
      <c r="H10" s="253">
        <f>'[1]O VII ACF'!I41</f>
        <v>0</v>
      </c>
      <c r="I10" s="254" t="s">
        <v>647</v>
      </c>
    </row>
    <row r="11" spans="1:9">
      <c r="A11" s="251" t="s">
        <v>648</v>
      </c>
      <c r="B11" s="256">
        <f>'[1]O VIII ACSM'!C41</f>
        <v>0</v>
      </c>
      <c r="C11" s="256">
        <f>'[1]O VIII ACSM'!D41</f>
        <v>0</v>
      </c>
      <c r="D11" s="256">
        <f>'[1]O VIII ACSM'!E41</f>
        <v>0</v>
      </c>
      <c r="E11" s="256">
        <f>'[1]O VIII ACSM'!F41</f>
        <v>0</v>
      </c>
      <c r="F11" s="256">
        <f>'[1]O VIII ACSM'!G41</f>
        <v>0</v>
      </c>
      <c r="G11" s="256">
        <f>'[1]O VIII ACSM'!H41</f>
        <v>0</v>
      </c>
      <c r="H11" s="257">
        <f>'[1]O VIII ACSM'!I41</f>
        <v>0</v>
      </c>
      <c r="I11" s="254" t="s">
        <v>257</v>
      </c>
    </row>
    <row r="12" spans="1:9">
      <c r="A12" s="247" t="s">
        <v>618</v>
      </c>
      <c r="B12" s="256"/>
      <c r="C12" s="256"/>
      <c r="D12" s="256"/>
      <c r="E12" s="256"/>
      <c r="F12" s="256"/>
      <c r="G12" s="256"/>
      <c r="H12" s="257"/>
      <c r="I12" s="254"/>
    </row>
    <row r="13" spans="1:9" s="246" customFormat="1">
      <c r="A13" s="247" t="s">
        <v>18</v>
      </c>
      <c r="B13" s="258">
        <f>SUM(B4:B11)</f>
        <v>17</v>
      </c>
      <c r="C13" s="258">
        <f t="shared" ref="C13:H13" si="0">SUM(C4:C11)</f>
        <v>2050000</v>
      </c>
      <c r="D13" s="258">
        <f t="shared" si="0"/>
        <v>1</v>
      </c>
      <c r="E13" s="258">
        <f t="shared" si="0"/>
        <v>0</v>
      </c>
      <c r="F13" s="258">
        <f t="shared" si="0"/>
        <v>0</v>
      </c>
      <c r="G13" s="258">
        <f t="shared" si="0"/>
        <v>2050000</v>
      </c>
      <c r="H13" s="259">
        <f t="shared" si="0"/>
        <v>0</v>
      </c>
      <c r="I13" s="250"/>
    </row>
    <row r="14" spans="1:9">
      <c r="I14" s="254"/>
    </row>
  </sheetData>
  <mergeCells count="1">
    <mergeCell ref="A1:H1"/>
  </mergeCells>
  <pageMargins left="0.70866141732283472" right="0.70866141732283472" top="0.74803149606299213" bottom="0.74803149606299213" header="0.31496062992125984" footer="0.31496062992125984"/>
  <pageSetup paperSize="5" scale="95" orientation="landscape" horizontalDpi="4294967295" verticalDpi="4294967295" r:id="rId1"/>
</worksheet>
</file>

<file path=xl/worksheets/sheet8.xml><?xml version="1.0" encoding="utf-8"?>
<worksheet xmlns="http://schemas.openxmlformats.org/spreadsheetml/2006/main" xmlns:r="http://schemas.openxmlformats.org/officeDocument/2006/relationships">
  <dimension ref="A1:J54"/>
  <sheetViews>
    <sheetView view="pageBreakPreview" zoomScaleSheetLayoutView="100" workbookViewId="0">
      <pane xSplit="1" ySplit="6" topLeftCell="B28" activePane="bottomRight" state="frozen"/>
      <selection pane="topRight" activeCell="B1" sqref="B1"/>
      <selection pane="bottomLeft" activeCell="A7" sqref="A7"/>
      <selection pane="bottomRight"/>
    </sheetView>
  </sheetViews>
  <sheetFormatPr defaultRowHeight="15"/>
  <cols>
    <col min="1" max="1" width="36.5703125" customWidth="1"/>
    <col min="2" max="2" width="8.140625" customWidth="1"/>
    <col min="3" max="3" width="9.5703125" customWidth="1"/>
    <col min="4" max="5" width="6" customWidth="1"/>
    <col min="6" max="6" width="7" customWidth="1"/>
    <col min="7" max="7" width="6.42578125" customWidth="1"/>
    <col min="8" max="8" width="11" style="335" customWidth="1"/>
    <col min="9" max="9" width="16.85546875" style="335" customWidth="1"/>
    <col min="10" max="10" width="10.42578125" customWidth="1"/>
    <col min="257" max="257" width="36.5703125" customWidth="1"/>
    <col min="258" max="258" width="8.5703125" customWidth="1"/>
    <col min="259" max="259" width="9.5703125" customWidth="1"/>
    <col min="260" max="260" width="7.85546875" customWidth="1"/>
    <col min="264" max="264" width="11" customWidth="1"/>
    <col min="265" max="265" width="16.85546875" customWidth="1"/>
    <col min="266" max="266" width="17.7109375" customWidth="1"/>
    <col min="513" max="513" width="36.5703125" customWidth="1"/>
    <col min="514" max="514" width="8.5703125" customWidth="1"/>
    <col min="515" max="515" width="9.5703125" customWidth="1"/>
    <col min="516" max="516" width="7.85546875" customWidth="1"/>
    <col min="520" max="520" width="11" customWidth="1"/>
    <col min="521" max="521" width="16.85546875" customWidth="1"/>
    <col min="522" max="522" width="17.7109375" customWidth="1"/>
    <col min="769" max="769" width="36.5703125" customWidth="1"/>
    <col min="770" max="770" width="8.5703125" customWidth="1"/>
    <col min="771" max="771" width="9.5703125" customWidth="1"/>
    <col min="772" max="772" width="7.85546875" customWidth="1"/>
    <col min="776" max="776" width="11" customWidth="1"/>
    <col min="777" max="777" width="16.85546875" customWidth="1"/>
    <col min="778" max="778" width="17.7109375" customWidth="1"/>
    <col min="1025" max="1025" width="36.5703125" customWidth="1"/>
    <col min="1026" max="1026" width="8.5703125" customWidth="1"/>
    <col min="1027" max="1027" width="9.5703125" customWidth="1"/>
    <col min="1028" max="1028" width="7.85546875" customWidth="1"/>
    <col min="1032" max="1032" width="11" customWidth="1"/>
    <col min="1033" max="1033" width="16.85546875" customWidth="1"/>
    <col min="1034" max="1034" width="17.7109375" customWidth="1"/>
    <col min="1281" max="1281" width="36.5703125" customWidth="1"/>
    <col min="1282" max="1282" width="8.5703125" customWidth="1"/>
    <col min="1283" max="1283" width="9.5703125" customWidth="1"/>
    <col min="1284" max="1284" width="7.85546875" customWidth="1"/>
    <col min="1288" max="1288" width="11" customWidth="1"/>
    <col min="1289" max="1289" width="16.85546875" customWidth="1"/>
    <col min="1290" max="1290" width="17.7109375" customWidth="1"/>
    <col min="1537" max="1537" width="36.5703125" customWidth="1"/>
    <col min="1538" max="1538" width="8.5703125" customWidth="1"/>
    <col min="1539" max="1539" width="9.5703125" customWidth="1"/>
    <col min="1540" max="1540" width="7.85546875" customWidth="1"/>
    <col min="1544" max="1544" width="11" customWidth="1"/>
    <col min="1545" max="1545" width="16.85546875" customWidth="1"/>
    <col min="1546" max="1546" width="17.7109375" customWidth="1"/>
    <col min="1793" max="1793" width="36.5703125" customWidth="1"/>
    <col min="1794" max="1794" width="8.5703125" customWidth="1"/>
    <col min="1795" max="1795" width="9.5703125" customWidth="1"/>
    <col min="1796" max="1796" width="7.85546875" customWidth="1"/>
    <col min="1800" max="1800" width="11" customWidth="1"/>
    <col min="1801" max="1801" width="16.85546875" customWidth="1"/>
    <col min="1802" max="1802" width="17.7109375" customWidth="1"/>
    <col min="2049" max="2049" width="36.5703125" customWidth="1"/>
    <col min="2050" max="2050" width="8.5703125" customWidth="1"/>
    <col min="2051" max="2051" width="9.5703125" customWidth="1"/>
    <col min="2052" max="2052" width="7.85546875" customWidth="1"/>
    <col min="2056" max="2056" width="11" customWidth="1"/>
    <col min="2057" max="2057" width="16.85546875" customWidth="1"/>
    <col min="2058" max="2058" width="17.7109375" customWidth="1"/>
    <col min="2305" max="2305" width="36.5703125" customWidth="1"/>
    <col min="2306" max="2306" width="8.5703125" customWidth="1"/>
    <col min="2307" max="2307" width="9.5703125" customWidth="1"/>
    <col min="2308" max="2308" width="7.85546875" customWidth="1"/>
    <col min="2312" max="2312" width="11" customWidth="1"/>
    <col min="2313" max="2313" width="16.85546875" customWidth="1"/>
    <col min="2314" max="2314" width="17.7109375" customWidth="1"/>
    <col min="2561" max="2561" width="36.5703125" customWidth="1"/>
    <col min="2562" max="2562" width="8.5703125" customWidth="1"/>
    <col min="2563" max="2563" width="9.5703125" customWidth="1"/>
    <col min="2564" max="2564" width="7.85546875" customWidth="1"/>
    <col min="2568" max="2568" width="11" customWidth="1"/>
    <col min="2569" max="2569" width="16.85546875" customWidth="1"/>
    <col min="2570" max="2570" width="17.7109375" customWidth="1"/>
    <col min="2817" max="2817" width="36.5703125" customWidth="1"/>
    <col min="2818" max="2818" width="8.5703125" customWidth="1"/>
    <col min="2819" max="2819" width="9.5703125" customWidth="1"/>
    <col min="2820" max="2820" width="7.85546875" customWidth="1"/>
    <col min="2824" max="2824" width="11" customWidth="1"/>
    <col min="2825" max="2825" width="16.85546875" customWidth="1"/>
    <col min="2826" max="2826" width="17.7109375" customWidth="1"/>
    <col min="3073" max="3073" width="36.5703125" customWidth="1"/>
    <col min="3074" max="3074" width="8.5703125" customWidth="1"/>
    <col min="3075" max="3075" width="9.5703125" customWidth="1"/>
    <col min="3076" max="3076" width="7.85546875" customWidth="1"/>
    <col min="3080" max="3080" width="11" customWidth="1"/>
    <col min="3081" max="3081" width="16.85546875" customWidth="1"/>
    <col min="3082" max="3082" width="17.7109375" customWidth="1"/>
    <col min="3329" max="3329" width="36.5703125" customWidth="1"/>
    <col min="3330" max="3330" width="8.5703125" customWidth="1"/>
    <col min="3331" max="3331" width="9.5703125" customWidth="1"/>
    <col min="3332" max="3332" width="7.85546875" customWidth="1"/>
    <col min="3336" max="3336" width="11" customWidth="1"/>
    <col min="3337" max="3337" width="16.85546875" customWidth="1"/>
    <col min="3338" max="3338" width="17.7109375" customWidth="1"/>
    <col min="3585" max="3585" width="36.5703125" customWidth="1"/>
    <col min="3586" max="3586" width="8.5703125" customWidth="1"/>
    <col min="3587" max="3587" width="9.5703125" customWidth="1"/>
    <col min="3588" max="3588" width="7.85546875" customWidth="1"/>
    <col min="3592" max="3592" width="11" customWidth="1"/>
    <col min="3593" max="3593" width="16.85546875" customWidth="1"/>
    <col min="3594" max="3594" width="17.7109375" customWidth="1"/>
    <col min="3841" max="3841" width="36.5703125" customWidth="1"/>
    <col min="3842" max="3842" width="8.5703125" customWidth="1"/>
    <col min="3843" max="3843" width="9.5703125" customWidth="1"/>
    <col min="3844" max="3844" width="7.85546875" customWidth="1"/>
    <col min="3848" max="3848" width="11" customWidth="1"/>
    <col min="3849" max="3849" width="16.85546875" customWidth="1"/>
    <col min="3850" max="3850" width="17.7109375" customWidth="1"/>
    <col min="4097" max="4097" width="36.5703125" customWidth="1"/>
    <col min="4098" max="4098" width="8.5703125" customWidth="1"/>
    <col min="4099" max="4099" width="9.5703125" customWidth="1"/>
    <col min="4100" max="4100" width="7.85546875" customWidth="1"/>
    <col min="4104" max="4104" width="11" customWidth="1"/>
    <col min="4105" max="4105" width="16.85546875" customWidth="1"/>
    <col min="4106" max="4106" width="17.7109375" customWidth="1"/>
    <col min="4353" max="4353" width="36.5703125" customWidth="1"/>
    <col min="4354" max="4354" width="8.5703125" customWidth="1"/>
    <col min="4355" max="4355" width="9.5703125" customWidth="1"/>
    <col min="4356" max="4356" width="7.85546875" customWidth="1"/>
    <col min="4360" max="4360" width="11" customWidth="1"/>
    <col min="4361" max="4361" width="16.85546875" customWidth="1"/>
    <col min="4362" max="4362" width="17.7109375" customWidth="1"/>
    <col min="4609" max="4609" width="36.5703125" customWidth="1"/>
    <col min="4610" max="4610" width="8.5703125" customWidth="1"/>
    <col min="4611" max="4611" width="9.5703125" customWidth="1"/>
    <col min="4612" max="4612" width="7.85546875" customWidth="1"/>
    <col min="4616" max="4616" width="11" customWidth="1"/>
    <col min="4617" max="4617" width="16.85546875" customWidth="1"/>
    <col min="4618" max="4618" width="17.7109375" customWidth="1"/>
    <col min="4865" max="4865" width="36.5703125" customWidth="1"/>
    <col min="4866" max="4866" width="8.5703125" customWidth="1"/>
    <col min="4867" max="4867" width="9.5703125" customWidth="1"/>
    <col min="4868" max="4868" width="7.85546875" customWidth="1"/>
    <col min="4872" max="4872" width="11" customWidth="1"/>
    <col min="4873" max="4873" width="16.85546875" customWidth="1"/>
    <col min="4874" max="4874" width="17.7109375" customWidth="1"/>
    <col min="5121" max="5121" width="36.5703125" customWidth="1"/>
    <col min="5122" max="5122" width="8.5703125" customWidth="1"/>
    <col min="5123" max="5123" width="9.5703125" customWidth="1"/>
    <col min="5124" max="5124" width="7.85546875" customWidth="1"/>
    <col min="5128" max="5128" width="11" customWidth="1"/>
    <col min="5129" max="5129" width="16.85546875" customWidth="1"/>
    <col min="5130" max="5130" width="17.7109375" customWidth="1"/>
    <col min="5377" max="5377" width="36.5703125" customWidth="1"/>
    <col min="5378" max="5378" width="8.5703125" customWidth="1"/>
    <col min="5379" max="5379" width="9.5703125" customWidth="1"/>
    <col min="5380" max="5380" width="7.85546875" customWidth="1"/>
    <col min="5384" max="5384" width="11" customWidth="1"/>
    <col min="5385" max="5385" width="16.85546875" customWidth="1"/>
    <col min="5386" max="5386" width="17.7109375" customWidth="1"/>
    <col min="5633" max="5633" width="36.5703125" customWidth="1"/>
    <col min="5634" max="5634" width="8.5703125" customWidth="1"/>
    <col min="5635" max="5635" width="9.5703125" customWidth="1"/>
    <col min="5636" max="5636" width="7.85546875" customWidth="1"/>
    <col min="5640" max="5640" width="11" customWidth="1"/>
    <col min="5641" max="5641" width="16.85546875" customWidth="1"/>
    <col min="5642" max="5642" width="17.7109375" customWidth="1"/>
    <col min="5889" max="5889" width="36.5703125" customWidth="1"/>
    <col min="5890" max="5890" width="8.5703125" customWidth="1"/>
    <col min="5891" max="5891" width="9.5703125" customWidth="1"/>
    <col min="5892" max="5892" width="7.85546875" customWidth="1"/>
    <col min="5896" max="5896" width="11" customWidth="1"/>
    <col min="5897" max="5897" width="16.85546875" customWidth="1"/>
    <col min="5898" max="5898" width="17.7109375" customWidth="1"/>
    <col min="6145" max="6145" width="36.5703125" customWidth="1"/>
    <col min="6146" max="6146" width="8.5703125" customWidth="1"/>
    <col min="6147" max="6147" width="9.5703125" customWidth="1"/>
    <col min="6148" max="6148" width="7.85546875" customWidth="1"/>
    <col min="6152" max="6152" width="11" customWidth="1"/>
    <col min="6153" max="6153" width="16.85546875" customWidth="1"/>
    <col min="6154" max="6154" width="17.7109375" customWidth="1"/>
    <col min="6401" max="6401" width="36.5703125" customWidth="1"/>
    <col min="6402" max="6402" width="8.5703125" customWidth="1"/>
    <col min="6403" max="6403" width="9.5703125" customWidth="1"/>
    <col min="6404" max="6404" width="7.85546875" customWidth="1"/>
    <col min="6408" max="6408" width="11" customWidth="1"/>
    <col min="6409" max="6409" width="16.85546875" customWidth="1"/>
    <col min="6410" max="6410" width="17.7109375" customWidth="1"/>
    <col min="6657" max="6657" width="36.5703125" customWidth="1"/>
    <col min="6658" max="6658" width="8.5703125" customWidth="1"/>
    <col min="6659" max="6659" width="9.5703125" customWidth="1"/>
    <col min="6660" max="6660" width="7.85546875" customWidth="1"/>
    <col min="6664" max="6664" width="11" customWidth="1"/>
    <col min="6665" max="6665" width="16.85546875" customWidth="1"/>
    <col min="6666" max="6666" width="17.7109375" customWidth="1"/>
    <col min="6913" max="6913" width="36.5703125" customWidth="1"/>
    <col min="6914" max="6914" width="8.5703125" customWidth="1"/>
    <col min="6915" max="6915" width="9.5703125" customWidth="1"/>
    <col min="6916" max="6916" width="7.85546875" customWidth="1"/>
    <col min="6920" max="6920" width="11" customWidth="1"/>
    <col min="6921" max="6921" width="16.85546875" customWidth="1"/>
    <col min="6922" max="6922" width="17.7109375" customWidth="1"/>
    <col min="7169" max="7169" width="36.5703125" customWidth="1"/>
    <col min="7170" max="7170" width="8.5703125" customWidth="1"/>
    <col min="7171" max="7171" width="9.5703125" customWidth="1"/>
    <col min="7172" max="7172" width="7.85546875" customWidth="1"/>
    <col min="7176" max="7176" width="11" customWidth="1"/>
    <col min="7177" max="7177" width="16.85546875" customWidth="1"/>
    <col min="7178" max="7178" width="17.7109375" customWidth="1"/>
    <col min="7425" max="7425" width="36.5703125" customWidth="1"/>
    <col min="7426" max="7426" width="8.5703125" customWidth="1"/>
    <col min="7427" max="7427" width="9.5703125" customWidth="1"/>
    <col min="7428" max="7428" width="7.85546875" customWidth="1"/>
    <col min="7432" max="7432" width="11" customWidth="1"/>
    <col min="7433" max="7433" width="16.85546875" customWidth="1"/>
    <col min="7434" max="7434" width="17.7109375" customWidth="1"/>
    <col min="7681" max="7681" width="36.5703125" customWidth="1"/>
    <col min="7682" max="7682" width="8.5703125" customWidth="1"/>
    <col min="7683" max="7683" width="9.5703125" customWidth="1"/>
    <col min="7684" max="7684" width="7.85546875" customWidth="1"/>
    <col min="7688" max="7688" width="11" customWidth="1"/>
    <col min="7689" max="7689" width="16.85546875" customWidth="1"/>
    <col min="7690" max="7690" width="17.7109375" customWidth="1"/>
    <col min="7937" max="7937" width="36.5703125" customWidth="1"/>
    <col min="7938" max="7938" width="8.5703125" customWidth="1"/>
    <col min="7939" max="7939" width="9.5703125" customWidth="1"/>
    <col min="7940" max="7940" width="7.85546875" customWidth="1"/>
    <col min="7944" max="7944" width="11" customWidth="1"/>
    <col min="7945" max="7945" width="16.85546875" customWidth="1"/>
    <col min="7946" max="7946" width="17.7109375" customWidth="1"/>
    <col min="8193" max="8193" width="36.5703125" customWidth="1"/>
    <col min="8194" max="8194" width="8.5703125" customWidth="1"/>
    <col min="8195" max="8195" width="9.5703125" customWidth="1"/>
    <col min="8196" max="8196" width="7.85546875" customWidth="1"/>
    <col min="8200" max="8200" width="11" customWidth="1"/>
    <col min="8201" max="8201" width="16.85546875" customWidth="1"/>
    <col min="8202" max="8202" width="17.7109375" customWidth="1"/>
    <col min="8449" max="8449" width="36.5703125" customWidth="1"/>
    <col min="8450" max="8450" width="8.5703125" customWidth="1"/>
    <col min="8451" max="8451" width="9.5703125" customWidth="1"/>
    <col min="8452" max="8452" width="7.85546875" customWidth="1"/>
    <col min="8456" max="8456" width="11" customWidth="1"/>
    <col min="8457" max="8457" width="16.85546875" customWidth="1"/>
    <col min="8458" max="8458" width="17.7109375" customWidth="1"/>
    <col min="8705" max="8705" width="36.5703125" customWidth="1"/>
    <col min="8706" max="8706" width="8.5703125" customWidth="1"/>
    <col min="8707" max="8707" width="9.5703125" customWidth="1"/>
    <col min="8708" max="8708" width="7.85546875" customWidth="1"/>
    <col min="8712" max="8712" width="11" customWidth="1"/>
    <col min="8713" max="8713" width="16.85546875" customWidth="1"/>
    <col min="8714" max="8714" width="17.7109375" customWidth="1"/>
    <col min="8961" max="8961" width="36.5703125" customWidth="1"/>
    <col min="8962" max="8962" width="8.5703125" customWidth="1"/>
    <col min="8963" max="8963" width="9.5703125" customWidth="1"/>
    <col min="8964" max="8964" width="7.85546875" customWidth="1"/>
    <col min="8968" max="8968" width="11" customWidth="1"/>
    <col min="8969" max="8969" width="16.85546875" customWidth="1"/>
    <col min="8970" max="8970" width="17.7109375" customWidth="1"/>
    <col min="9217" max="9217" width="36.5703125" customWidth="1"/>
    <col min="9218" max="9218" width="8.5703125" customWidth="1"/>
    <col min="9219" max="9219" width="9.5703125" customWidth="1"/>
    <col min="9220" max="9220" width="7.85546875" customWidth="1"/>
    <col min="9224" max="9224" width="11" customWidth="1"/>
    <col min="9225" max="9225" width="16.85546875" customWidth="1"/>
    <col min="9226" max="9226" width="17.7109375" customWidth="1"/>
    <col min="9473" max="9473" width="36.5703125" customWidth="1"/>
    <col min="9474" max="9474" width="8.5703125" customWidth="1"/>
    <col min="9475" max="9475" width="9.5703125" customWidth="1"/>
    <col min="9476" max="9476" width="7.85546875" customWidth="1"/>
    <col min="9480" max="9480" width="11" customWidth="1"/>
    <col min="9481" max="9481" width="16.85546875" customWidth="1"/>
    <col min="9482" max="9482" width="17.7109375" customWidth="1"/>
    <col min="9729" max="9729" width="36.5703125" customWidth="1"/>
    <col min="9730" max="9730" width="8.5703125" customWidth="1"/>
    <col min="9731" max="9731" width="9.5703125" customWidth="1"/>
    <col min="9732" max="9732" width="7.85546875" customWidth="1"/>
    <col min="9736" max="9736" width="11" customWidth="1"/>
    <col min="9737" max="9737" width="16.85546875" customWidth="1"/>
    <col min="9738" max="9738" width="17.7109375" customWidth="1"/>
    <col min="9985" max="9985" width="36.5703125" customWidth="1"/>
    <col min="9986" max="9986" width="8.5703125" customWidth="1"/>
    <col min="9987" max="9987" width="9.5703125" customWidth="1"/>
    <col min="9988" max="9988" width="7.85546875" customWidth="1"/>
    <col min="9992" max="9992" width="11" customWidth="1"/>
    <col min="9993" max="9993" width="16.85546875" customWidth="1"/>
    <col min="9994" max="9994" width="17.7109375" customWidth="1"/>
    <col min="10241" max="10241" width="36.5703125" customWidth="1"/>
    <col min="10242" max="10242" width="8.5703125" customWidth="1"/>
    <col min="10243" max="10243" width="9.5703125" customWidth="1"/>
    <col min="10244" max="10244" width="7.85546875" customWidth="1"/>
    <col min="10248" max="10248" width="11" customWidth="1"/>
    <col min="10249" max="10249" width="16.85546875" customWidth="1"/>
    <col min="10250" max="10250" width="17.7109375" customWidth="1"/>
    <col min="10497" max="10497" width="36.5703125" customWidth="1"/>
    <col min="10498" max="10498" width="8.5703125" customWidth="1"/>
    <col min="10499" max="10499" width="9.5703125" customWidth="1"/>
    <col min="10500" max="10500" width="7.85546875" customWidth="1"/>
    <col min="10504" max="10504" width="11" customWidth="1"/>
    <col min="10505" max="10505" width="16.85546875" customWidth="1"/>
    <col min="10506" max="10506" width="17.7109375" customWidth="1"/>
    <col min="10753" max="10753" width="36.5703125" customWidth="1"/>
    <col min="10754" max="10754" width="8.5703125" customWidth="1"/>
    <col min="10755" max="10755" width="9.5703125" customWidth="1"/>
    <col min="10756" max="10756" width="7.85546875" customWidth="1"/>
    <col min="10760" max="10760" width="11" customWidth="1"/>
    <col min="10761" max="10761" width="16.85546875" customWidth="1"/>
    <col min="10762" max="10762" width="17.7109375" customWidth="1"/>
    <col min="11009" max="11009" width="36.5703125" customWidth="1"/>
    <col min="11010" max="11010" width="8.5703125" customWidth="1"/>
    <col min="11011" max="11011" width="9.5703125" customWidth="1"/>
    <col min="11012" max="11012" width="7.85546875" customWidth="1"/>
    <col min="11016" max="11016" width="11" customWidth="1"/>
    <col min="11017" max="11017" width="16.85546875" customWidth="1"/>
    <col min="11018" max="11018" width="17.7109375" customWidth="1"/>
    <col min="11265" max="11265" width="36.5703125" customWidth="1"/>
    <col min="11266" max="11266" width="8.5703125" customWidth="1"/>
    <col min="11267" max="11267" width="9.5703125" customWidth="1"/>
    <col min="11268" max="11268" width="7.85546875" customWidth="1"/>
    <col min="11272" max="11272" width="11" customWidth="1"/>
    <col min="11273" max="11273" width="16.85546875" customWidth="1"/>
    <col min="11274" max="11274" width="17.7109375" customWidth="1"/>
    <col min="11521" max="11521" width="36.5703125" customWidth="1"/>
    <col min="11522" max="11522" width="8.5703125" customWidth="1"/>
    <col min="11523" max="11523" width="9.5703125" customWidth="1"/>
    <col min="11524" max="11524" width="7.85546875" customWidth="1"/>
    <col min="11528" max="11528" width="11" customWidth="1"/>
    <col min="11529" max="11529" width="16.85546875" customWidth="1"/>
    <col min="11530" max="11530" width="17.7109375" customWidth="1"/>
    <col min="11777" max="11777" width="36.5703125" customWidth="1"/>
    <col min="11778" max="11778" width="8.5703125" customWidth="1"/>
    <col min="11779" max="11779" width="9.5703125" customWidth="1"/>
    <col min="11780" max="11780" width="7.85546875" customWidth="1"/>
    <col min="11784" max="11784" width="11" customWidth="1"/>
    <col min="11785" max="11785" width="16.85546875" customWidth="1"/>
    <col min="11786" max="11786" width="17.7109375" customWidth="1"/>
    <col min="12033" max="12033" width="36.5703125" customWidth="1"/>
    <col min="12034" max="12034" width="8.5703125" customWidth="1"/>
    <col min="12035" max="12035" width="9.5703125" customWidth="1"/>
    <col min="12036" max="12036" width="7.85546875" customWidth="1"/>
    <col min="12040" max="12040" width="11" customWidth="1"/>
    <col min="12041" max="12041" width="16.85546875" customWidth="1"/>
    <col min="12042" max="12042" width="17.7109375" customWidth="1"/>
    <col min="12289" max="12289" width="36.5703125" customWidth="1"/>
    <col min="12290" max="12290" width="8.5703125" customWidth="1"/>
    <col min="12291" max="12291" width="9.5703125" customWidth="1"/>
    <col min="12292" max="12292" width="7.85546875" customWidth="1"/>
    <col min="12296" max="12296" width="11" customWidth="1"/>
    <col min="12297" max="12297" width="16.85546875" customWidth="1"/>
    <col min="12298" max="12298" width="17.7109375" customWidth="1"/>
    <col min="12545" max="12545" width="36.5703125" customWidth="1"/>
    <col min="12546" max="12546" width="8.5703125" customWidth="1"/>
    <col min="12547" max="12547" width="9.5703125" customWidth="1"/>
    <col min="12548" max="12548" width="7.85546875" customWidth="1"/>
    <col min="12552" max="12552" width="11" customWidth="1"/>
    <col min="12553" max="12553" width="16.85546875" customWidth="1"/>
    <col min="12554" max="12554" width="17.7109375" customWidth="1"/>
    <col min="12801" max="12801" width="36.5703125" customWidth="1"/>
    <col min="12802" max="12802" width="8.5703125" customWidth="1"/>
    <col min="12803" max="12803" width="9.5703125" customWidth="1"/>
    <col min="12804" max="12804" width="7.85546875" customWidth="1"/>
    <col min="12808" max="12808" width="11" customWidth="1"/>
    <col min="12809" max="12809" width="16.85546875" customWidth="1"/>
    <col min="12810" max="12810" width="17.7109375" customWidth="1"/>
    <col min="13057" max="13057" width="36.5703125" customWidth="1"/>
    <col min="13058" max="13058" width="8.5703125" customWidth="1"/>
    <col min="13059" max="13059" width="9.5703125" customWidth="1"/>
    <col min="13060" max="13060" width="7.85546875" customWidth="1"/>
    <col min="13064" max="13064" width="11" customWidth="1"/>
    <col min="13065" max="13065" width="16.85546875" customWidth="1"/>
    <col min="13066" max="13066" width="17.7109375" customWidth="1"/>
    <col min="13313" max="13313" width="36.5703125" customWidth="1"/>
    <col min="13314" max="13314" width="8.5703125" customWidth="1"/>
    <col min="13315" max="13315" width="9.5703125" customWidth="1"/>
    <col min="13316" max="13316" width="7.85546875" customWidth="1"/>
    <col min="13320" max="13320" width="11" customWidth="1"/>
    <col min="13321" max="13321" width="16.85546875" customWidth="1"/>
    <col min="13322" max="13322" width="17.7109375" customWidth="1"/>
    <col min="13569" max="13569" width="36.5703125" customWidth="1"/>
    <col min="13570" max="13570" width="8.5703125" customWidth="1"/>
    <col min="13571" max="13571" width="9.5703125" customWidth="1"/>
    <col min="13572" max="13572" width="7.85546875" customWidth="1"/>
    <col min="13576" max="13576" width="11" customWidth="1"/>
    <col min="13577" max="13577" width="16.85546875" customWidth="1"/>
    <col min="13578" max="13578" width="17.7109375" customWidth="1"/>
    <col min="13825" max="13825" width="36.5703125" customWidth="1"/>
    <col min="13826" max="13826" width="8.5703125" customWidth="1"/>
    <col min="13827" max="13827" width="9.5703125" customWidth="1"/>
    <col min="13828" max="13828" width="7.85546875" customWidth="1"/>
    <col min="13832" max="13832" width="11" customWidth="1"/>
    <col min="13833" max="13833" width="16.85546875" customWidth="1"/>
    <col min="13834" max="13834" width="17.7109375" customWidth="1"/>
    <col min="14081" max="14081" width="36.5703125" customWidth="1"/>
    <col min="14082" max="14082" width="8.5703125" customWidth="1"/>
    <col min="14083" max="14083" width="9.5703125" customWidth="1"/>
    <col min="14084" max="14084" width="7.85546875" customWidth="1"/>
    <col min="14088" max="14088" width="11" customWidth="1"/>
    <col min="14089" max="14089" width="16.85546875" customWidth="1"/>
    <col min="14090" max="14090" width="17.7109375" customWidth="1"/>
    <col min="14337" max="14337" width="36.5703125" customWidth="1"/>
    <col min="14338" max="14338" width="8.5703125" customWidth="1"/>
    <col min="14339" max="14339" width="9.5703125" customWidth="1"/>
    <col min="14340" max="14340" width="7.85546875" customWidth="1"/>
    <col min="14344" max="14344" width="11" customWidth="1"/>
    <col min="14345" max="14345" width="16.85546875" customWidth="1"/>
    <col min="14346" max="14346" width="17.7109375" customWidth="1"/>
    <col min="14593" max="14593" width="36.5703125" customWidth="1"/>
    <col min="14594" max="14594" width="8.5703125" customWidth="1"/>
    <col min="14595" max="14595" width="9.5703125" customWidth="1"/>
    <col min="14596" max="14596" width="7.85546875" customWidth="1"/>
    <col min="14600" max="14600" width="11" customWidth="1"/>
    <col min="14601" max="14601" width="16.85546875" customWidth="1"/>
    <col min="14602" max="14602" width="17.7109375" customWidth="1"/>
    <col min="14849" max="14849" width="36.5703125" customWidth="1"/>
    <col min="14850" max="14850" width="8.5703125" customWidth="1"/>
    <col min="14851" max="14851" width="9.5703125" customWidth="1"/>
    <col min="14852" max="14852" width="7.85546875" customWidth="1"/>
    <col min="14856" max="14856" width="11" customWidth="1"/>
    <col min="14857" max="14857" width="16.85546875" customWidth="1"/>
    <col min="14858" max="14858" width="17.7109375" customWidth="1"/>
    <col min="15105" max="15105" width="36.5703125" customWidth="1"/>
    <col min="15106" max="15106" width="8.5703125" customWidth="1"/>
    <col min="15107" max="15107" width="9.5703125" customWidth="1"/>
    <col min="15108" max="15108" width="7.85546875" customWidth="1"/>
    <col min="15112" max="15112" width="11" customWidth="1"/>
    <col min="15113" max="15113" width="16.85546875" customWidth="1"/>
    <col min="15114" max="15114" width="17.7109375" customWidth="1"/>
    <col min="15361" max="15361" width="36.5703125" customWidth="1"/>
    <col min="15362" max="15362" width="8.5703125" customWidth="1"/>
    <col min="15363" max="15363" width="9.5703125" customWidth="1"/>
    <col min="15364" max="15364" width="7.85546875" customWidth="1"/>
    <col min="15368" max="15368" width="11" customWidth="1"/>
    <col min="15369" max="15369" width="16.85546875" customWidth="1"/>
    <col min="15370" max="15370" width="17.7109375" customWidth="1"/>
    <col min="15617" max="15617" width="36.5703125" customWidth="1"/>
    <col min="15618" max="15618" width="8.5703125" customWidth="1"/>
    <col min="15619" max="15619" width="9.5703125" customWidth="1"/>
    <col min="15620" max="15620" width="7.85546875" customWidth="1"/>
    <col min="15624" max="15624" width="11" customWidth="1"/>
    <col min="15625" max="15625" width="16.85546875" customWidth="1"/>
    <col min="15626" max="15626" width="17.7109375" customWidth="1"/>
    <col min="15873" max="15873" width="36.5703125" customWidth="1"/>
    <col min="15874" max="15874" width="8.5703125" customWidth="1"/>
    <col min="15875" max="15875" width="9.5703125" customWidth="1"/>
    <col min="15876" max="15876" width="7.85546875" customWidth="1"/>
    <col min="15880" max="15880" width="11" customWidth="1"/>
    <col min="15881" max="15881" width="16.85546875" customWidth="1"/>
    <col min="15882" max="15882" width="17.7109375" customWidth="1"/>
    <col min="16129" max="16129" width="36.5703125" customWidth="1"/>
    <col min="16130" max="16130" width="8.5703125" customWidth="1"/>
    <col min="16131" max="16131" width="9.5703125" customWidth="1"/>
    <col min="16132" max="16132" width="7.85546875" customWidth="1"/>
    <col min="16136" max="16136" width="11" customWidth="1"/>
    <col min="16137" max="16137" width="16.85546875" customWidth="1"/>
    <col min="16138" max="16138" width="17.7109375" customWidth="1"/>
  </cols>
  <sheetData>
    <row r="1" spans="1:10">
      <c r="A1" s="1" t="s">
        <v>570</v>
      </c>
    </row>
    <row r="2" spans="1:10">
      <c r="A2" t="s">
        <v>201</v>
      </c>
      <c r="B2" s="421"/>
      <c r="C2" s="421"/>
      <c r="D2" s="421"/>
    </row>
    <row r="3" spans="1:10" ht="42">
      <c r="A3" s="422" t="s">
        <v>23</v>
      </c>
      <c r="B3" s="412" t="s">
        <v>202</v>
      </c>
      <c r="C3" s="412" t="s">
        <v>571</v>
      </c>
      <c r="D3" s="425" t="s">
        <v>572</v>
      </c>
      <c r="E3" s="426"/>
      <c r="F3" s="426"/>
      <c r="G3" s="427"/>
      <c r="H3" s="418" t="s">
        <v>203</v>
      </c>
      <c r="I3" s="352" t="s">
        <v>204</v>
      </c>
      <c r="J3" s="412" t="s">
        <v>205</v>
      </c>
    </row>
    <row r="4" spans="1:10">
      <c r="A4" s="423"/>
      <c r="B4" s="413"/>
      <c r="C4" s="413"/>
      <c r="D4" s="428"/>
      <c r="E4" s="429"/>
      <c r="F4" s="429"/>
      <c r="G4" s="430"/>
      <c r="H4" s="419"/>
      <c r="I4" s="352" t="s">
        <v>295</v>
      </c>
      <c r="J4" s="413"/>
    </row>
    <row r="5" spans="1:10">
      <c r="A5" s="424"/>
      <c r="B5" s="414"/>
      <c r="C5" s="414"/>
      <c r="D5" s="260" t="s">
        <v>206</v>
      </c>
      <c r="E5" s="260" t="s">
        <v>207</v>
      </c>
      <c r="F5" s="260" t="s">
        <v>208</v>
      </c>
      <c r="G5" s="260" t="s">
        <v>209</v>
      </c>
      <c r="H5" s="420"/>
      <c r="I5" s="353"/>
      <c r="J5" s="414"/>
    </row>
    <row r="6" spans="1:10">
      <c r="A6" s="39" t="s">
        <v>296</v>
      </c>
      <c r="B6" s="260" t="s">
        <v>210</v>
      </c>
      <c r="C6" s="260" t="s">
        <v>211</v>
      </c>
      <c r="D6" s="415" t="s">
        <v>212</v>
      </c>
      <c r="E6" s="416"/>
      <c r="F6" s="416"/>
      <c r="G6" s="417"/>
      <c r="H6" s="352" t="s">
        <v>213</v>
      </c>
      <c r="I6" s="352" t="s">
        <v>214</v>
      </c>
      <c r="J6" s="260" t="s">
        <v>215</v>
      </c>
    </row>
    <row r="7" spans="1:10" s="2" customFormat="1" ht="12.75">
      <c r="A7" s="40" t="s">
        <v>762</v>
      </c>
      <c r="B7" s="41">
        <v>0</v>
      </c>
      <c r="C7" s="41">
        <v>0</v>
      </c>
      <c r="D7" s="41">
        <v>0</v>
      </c>
      <c r="E7" s="41">
        <v>0</v>
      </c>
      <c r="F7" s="41">
        <v>0</v>
      </c>
      <c r="G7" s="41">
        <v>0</v>
      </c>
      <c r="H7" s="45">
        <v>0</v>
      </c>
      <c r="I7" s="45">
        <v>0</v>
      </c>
      <c r="J7" s="41">
        <v>0</v>
      </c>
    </row>
    <row r="8" spans="1:10" s="2" customFormat="1" ht="38.25">
      <c r="A8" s="40" t="s">
        <v>763</v>
      </c>
      <c r="B8" s="44">
        <v>225</v>
      </c>
      <c r="C8" s="41">
        <v>105</v>
      </c>
      <c r="D8" s="42">
        <v>30</v>
      </c>
      <c r="E8" s="42">
        <v>30</v>
      </c>
      <c r="F8" s="42">
        <v>30</v>
      </c>
      <c r="G8" s="42">
        <v>30</v>
      </c>
      <c r="H8" s="354">
        <v>0.5</v>
      </c>
      <c r="I8" s="45">
        <v>0.5</v>
      </c>
      <c r="J8" s="43" t="s">
        <v>764</v>
      </c>
    </row>
    <row r="9" spans="1:10" s="2" customFormat="1" ht="25.5">
      <c r="A9" s="40" t="s">
        <v>765</v>
      </c>
      <c r="B9" s="44">
        <v>373</v>
      </c>
      <c r="C9" s="41">
        <v>373</v>
      </c>
      <c r="D9" s="42">
        <v>95</v>
      </c>
      <c r="E9" s="42">
        <v>95</v>
      </c>
      <c r="F9" s="42">
        <v>95</v>
      </c>
      <c r="G9" s="42">
        <v>88</v>
      </c>
      <c r="H9" s="45">
        <v>0.5</v>
      </c>
      <c r="I9" s="45">
        <v>0.5</v>
      </c>
      <c r="J9" s="43"/>
    </row>
    <row r="10" spans="1:10" s="2" customFormat="1" ht="12.75">
      <c r="A10" s="40" t="s">
        <v>766</v>
      </c>
      <c r="B10" s="44" t="s">
        <v>759</v>
      </c>
      <c r="C10" s="44" t="s">
        <v>759</v>
      </c>
      <c r="D10" s="44" t="s">
        <v>759</v>
      </c>
      <c r="E10" s="44" t="s">
        <v>759</v>
      </c>
      <c r="F10" s="44" t="s">
        <v>759</v>
      </c>
      <c r="G10" s="44" t="s">
        <v>759</v>
      </c>
      <c r="H10" s="45">
        <v>0.5</v>
      </c>
      <c r="I10" s="45">
        <v>0.5</v>
      </c>
      <c r="J10" s="43"/>
    </row>
    <row r="11" spans="1:10" s="2" customFormat="1" ht="12.75">
      <c r="A11" s="40" t="s">
        <v>767</v>
      </c>
      <c r="B11" s="44" t="s">
        <v>759</v>
      </c>
      <c r="C11" s="44" t="s">
        <v>759</v>
      </c>
      <c r="D11" s="44" t="s">
        <v>759</v>
      </c>
      <c r="E11" s="44" t="s">
        <v>759</v>
      </c>
      <c r="F11" s="44" t="s">
        <v>759</v>
      </c>
      <c r="G11" s="44" t="s">
        <v>759</v>
      </c>
      <c r="H11" s="45"/>
      <c r="I11" s="45"/>
      <c r="J11" s="43"/>
    </row>
    <row r="12" spans="1:10" s="2" customFormat="1" ht="12.75">
      <c r="A12" s="40" t="s">
        <v>768</v>
      </c>
      <c r="B12" s="44" t="s">
        <v>759</v>
      </c>
      <c r="C12" s="44" t="s">
        <v>759</v>
      </c>
      <c r="D12" s="44" t="s">
        <v>759</v>
      </c>
      <c r="E12" s="44" t="s">
        <v>759</v>
      </c>
      <c r="F12" s="44" t="s">
        <v>759</v>
      </c>
      <c r="G12" s="44" t="s">
        <v>759</v>
      </c>
      <c r="H12" s="45"/>
      <c r="I12" s="45"/>
      <c r="J12" s="43"/>
    </row>
    <row r="13" spans="1:10" s="2" customFormat="1" ht="12.75">
      <c r="A13" s="40" t="s">
        <v>769</v>
      </c>
      <c r="B13" s="44" t="s">
        <v>759</v>
      </c>
      <c r="C13" s="44" t="s">
        <v>759</v>
      </c>
      <c r="D13" s="44" t="s">
        <v>759</v>
      </c>
      <c r="E13" s="44" t="s">
        <v>759</v>
      </c>
      <c r="F13" s="44" t="s">
        <v>759</v>
      </c>
      <c r="G13" s="44" t="s">
        <v>759</v>
      </c>
      <c r="H13" s="45"/>
      <c r="I13" s="45"/>
      <c r="J13" s="43"/>
    </row>
    <row r="14" spans="1:10" s="2" customFormat="1" ht="12.75">
      <c r="A14" s="40" t="s">
        <v>770</v>
      </c>
      <c r="B14" s="44" t="s">
        <v>759</v>
      </c>
      <c r="C14" s="44" t="s">
        <v>759</v>
      </c>
      <c r="D14" s="44" t="s">
        <v>759</v>
      </c>
      <c r="E14" s="44" t="s">
        <v>759</v>
      </c>
      <c r="F14" s="44" t="s">
        <v>759</v>
      </c>
      <c r="G14" s="44" t="s">
        <v>759</v>
      </c>
      <c r="H14" s="45"/>
      <c r="I14" s="45"/>
      <c r="J14" s="43"/>
    </row>
    <row r="15" spans="1:10" s="2" customFormat="1" ht="12.75">
      <c r="A15" s="40" t="s">
        <v>771</v>
      </c>
      <c r="B15" s="44">
        <v>648</v>
      </c>
      <c r="C15" s="41">
        <v>648</v>
      </c>
      <c r="D15" s="42">
        <v>162</v>
      </c>
      <c r="E15" s="42">
        <v>162</v>
      </c>
      <c r="F15" s="42">
        <v>162</v>
      </c>
      <c r="G15" s="42">
        <v>162</v>
      </c>
      <c r="H15" s="45">
        <v>0.5</v>
      </c>
      <c r="I15" s="45">
        <v>0.5</v>
      </c>
      <c r="J15" s="43"/>
    </row>
    <row r="16" spans="1:10" s="361" customFormat="1" ht="12.75">
      <c r="A16" s="355" t="s">
        <v>772</v>
      </c>
      <c r="B16" s="356"/>
      <c r="C16" s="357"/>
      <c r="D16" s="358"/>
      <c r="E16" s="358"/>
      <c r="F16" s="358"/>
      <c r="G16" s="358"/>
      <c r="H16" s="359"/>
      <c r="I16" s="359"/>
      <c r="J16" s="360"/>
    </row>
    <row r="17" spans="1:10" s="2" customFormat="1" ht="12.75">
      <c r="A17" s="40" t="s">
        <v>773</v>
      </c>
      <c r="B17" s="44">
        <v>728</v>
      </c>
      <c r="C17" s="41" t="s">
        <v>774</v>
      </c>
      <c r="D17" s="42">
        <v>182</v>
      </c>
      <c r="E17" s="42">
        <v>182</v>
      </c>
      <c r="F17" s="42">
        <v>182</v>
      </c>
      <c r="G17" s="42">
        <v>182</v>
      </c>
      <c r="H17" s="45">
        <v>1</v>
      </c>
      <c r="I17" s="45">
        <v>1</v>
      </c>
      <c r="J17" s="43"/>
    </row>
    <row r="18" spans="1:10" s="2" customFormat="1" ht="25.5">
      <c r="A18" s="40" t="s">
        <v>775</v>
      </c>
      <c r="B18" s="44" t="s">
        <v>759</v>
      </c>
      <c r="C18" s="44" t="s">
        <v>759</v>
      </c>
      <c r="D18" s="44" t="s">
        <v>759</v>
      </c>
      <c r="E18" s="44" t="s">
        <v>759</v>
      </c>
      <c r="F18" s="44" t="s">
        <v>759</v>
      </c>
      <c r="G18" s="44" t="s">
        <v>759</v>
      </c>
      <c r="H18" s="45"/>
      <c r="I18" s="45"/>
      <c r="J18" s="43"/>
    </row>
    <row r="19" spans="1:10" s="2" customFormat="1" ht="12.75">
      <c r="A19" s="40" t="s">
        <v>776</v>
      </c>
      <c r="B19" s="44" t="s">
        <v>759</v>
      </c>
      <c r="C19" s="44" t="s">
        <v>759</v>
      </c>
      <c r="D19" s="44" t="s">
        <v>759</v>
      </c>
      <c r="E19" s="44" t="s">
        <v>759</v>
      </c>
      <c r="F19" s="44" t="s">
        <v>759</v>
      </c>
      <c r="G19" s="44" t="s">
        <v>759</v>
      </c>
      <c r="H19" s="45"/>
      <c r="I19" s="45"/>
      <c r="J19" s="43"/>
    </row>
    <row r="20" spans="1:10" s="2" customFormat="1" ht="12.75">
      <c r="A20" s="46" t="s">
        <v>777</v>
      </c>
      <c r="B20" s="44"/>
      <c r="C20" s="41"/>
      <c r="D20" s="42"/>
      <c r="E20" s="42"/>
      <c r="F20" s="42"/>
      <c r="G20" s="42"/>
      <c r="H20" s="45"/>
      <c r="I20" s="45"/>
      <c r="J20" s="43"/>
    </row>
    <row r="21" spans="1:10" s="2" customFormat="1" ht="12.75">
      <c r="A21" s="40" t="s">
        <v>778</v>
      </c>
      <c r="B21" s="44" t="s">
        <v>759</v>
      </c>
      <c r="C21" s="44" t="s">
        <v>759</v>
      </c>
      <c r="D21" s="44" t="s">
        <v>759</v>
      </c>
      <c r="E21" s="44" t="s">
        <v>759</v>
      </c>
      <c r="F21" s="44" t="s">
        <v>759</v>
      </c>
      <c r="G21" s="44" t="s">
        <v>759</v>
      </c>
      <c r="H21" s="45"/>
      <c r="I21" s="45"/>
      <c r="J21" s="43"/>
    </row>
    <row r="22" spans="1:10" s="2" customFormat="1" ht="12.75">
      <c r="A22" s="40" t="s">
        <v>779</v>
      </c>
      <c r="B22" s="41">
        <v>945</v>
      </c>
      <c r="C22" s="44" t="s">
        <v>759</v>
      </c>
      <c r="D22" s="42">
        <v>236</v>
      </c>
      <c r="E22" s="42">
        <v>236</v>
      </c>
      <c r="F22" s="42">
        <v>236</v>
      </c>
      <c r="G22" s="42">
        <v>237</v>
      </c>
      <c r="H22" s="45">
        <v>1</v>
      </c>
      <c r="I22" s="45">
        <v>1</v>
      </c>
      <c r="J22" s="43"/>
    </row>
    <row r="23" spans="1:10" s="2" customFormat="1" ht="12.75">
      <c r="A23" s="40" t="s">
        <v>780</v>
      </c>
      <c r="B23" s="41">
        <v>945</v>
      </c>
      <c r="C23" s="44" t="s">
        <v>759</v>
      </c>
      <c r="D23" s="42">
        <v>236</v>
      </c>
      <c r="E23" s="42">
        <v>236</v>
      </c>
      <c r="F23" s="42">
        <v>236</v>
      </c>
      <c r="G23" s="42">
        <v>237</v>
      </c>
      <c r="H23" s="45">
        <v>1</v>
      </c>
      <c r="I23" s="45">
        <v>1</v>
      </c>
      <c r="J23" s="43"/>
    </row>
    <row r="24" spans="1:10" s="2" customFormat="1" ht="12.75">
      <c r="A24" s="40" t="s">
        <v>768</v>
      </c>
      <c r="B24" s="41">
        <v>728</v>
      </c>
      <c r="C24" s="41">
        <v>65</v>
      </c>
      <c r="D24" s="42">
        <v>182</v>
      </c>
      <c r="E24" s="42">
        <v>182</v>
      </c>
      <c r="F24" s="42">
        <v>182</v>
      </c>
      <c r="G24" s="42">
        <v>182</v>
      </c>
      <c r="H24" s="45">
        <v>1</v>
      </c>
      <c r="I24" s="45">
        <v>1</v>
      </c>
      <c r="J24" s="43"/>
    </row>
    <row r="25" spans="1:10" s="2" customFormat="1" ht="12.75">
      <c r="A25" s="40" t="s">
        <v>769</v>
      </c>
      <c r="B25" s="41">
        <v>728</v>
      </c>
      <c r="C25" s="41">
        <v>65</v>
      </c>
      <c r="D25" s="42">
        <v>182</v>
      </c>
      <c r="E25" s="42">
        <v>182</v>
      </c>
      <c r="F25" s="42">
        <v>182</v>
      </c>
      <c r="G25" s="42">
        <v>182</v>
      </c>
      <c r="H25" s="45">
        <v>1</v>
      </c>
      <c r="I25" s="45">
        <v>1</v>
      </c>
      <c r="J25" s="43"/>
    </row>
    <row r="26" spans="1:10" s="2" customFormat="1" ht="12.75">
      <c r="A26" s="40" t="s">
        <v>770</v>
      </c>
      <c r="B26" s="41">
        <v>728</v>
      </c>
      <c r="C26" s="41">
        <v>65</v>
      </c>
      <c r="D26" s="42">
        <v>182</v>
      </c>
      <c r="E26" s="42">
        <v>182</v>
      </c>
      <c r="F26" s="42">
        <v>182</v>
      </c>
      <c r="G26" s="42">
        <v>182</v>
      </c>
      <c r="H26" s="45">
        <v>1</v>
      </c>
      <c r="I26" s="45">
        <v>1</v>
      </c>
      <c r="J26" s="43"/>
    </row>
    <row r="27" spans="1:10" s="2" customFormat="1" ht="12.75">
      <c r="A27" s="40" t="s">
        <v>771</v>
      </c>
      <c r="B27" s="44">
        <v>648</v>
      </c>
      <c r="C27" s="41">
        <v>648</v>
      </c>
      <c r="D27" s="42">
        <v>162</v>
      </c>
      <c r="E27" s="42">
        <v>162</v>
      </c>
      <c r="F27" s="42">
        <v>162</v>
      </c>
      <c r="G27" s="42">
        <v>162</v>
      </c>
      <c r="H27" s="45">
        <v>0.5</v>
      </c>
      <c r="I27" s="45">
        <v>0.5</v>
      </c>
      <c r="J27" s="43"/>
    </row>
    <row r="28" spans="1:10" s="361" customFormat="1" ht="12.75">
      <c r="A28" s="355" t="s">
        <v>772</v>
      </c>
      <c r="B28" s="357"/>
      <c r="C28" s="357"/>
      <c r="D28" s="358"/>
      <c r="E28" s="358"/>
      <c r="F28" s="358"/>
      <c r="G28" s="358"/>
      <c r="H28" s="359"/>
      <c r="I28" s="359"/>
      <c r="J28" s="360"/>
    </row>
    <row r="29" spans="1:10" s="361" customFormat="1" ht="12.75">
      <c r="A29" s="355" t="s">
        <v>773</v>
      </c>
      <c r="B29" s="357"/>
      <c r="C29" s="357"/>
      <c r="D29" s="358"/>
      <c r="E29" s="358"/>
      <c r="F29" s="358"/>
      <c r="G29" s="358"/>
      <c r="H29" s="359"/>
      <c r="I29" s="359"/>
      <c r="J29" s="360"/>
    </row>
    <row r="30" spans="1:10" s="2" customFormat="1" ht="25.5">
      <c r="A30" s="40" t="s">
        <v>775</v>
      </c>
      <c r="B30" s="44" t="s">
        <v>759</v>
      </c>
      <c r="C30" s="44" t="s">
        <v>759</v>
      </c>
      <c r="D30" s="44" t="s">
        <v>759</v>
      </c>
      <c r="E30" s="44" t="s">
        <v>759</v>
      </c>
      <c r="F30" s="44" t="s">
        <v>759</v>
      </c>
      <c r="G30" s="44" t="s">
        <v>759</v>
      </c>
      <c r="H30" s="45"/>
      <c r="I30" s="45"/>
      <c r="J30" s="43"/>
    </row>
    <row r="31" spans="1:10" s="2" customFormat="1" ht="12.75">
      <c r="A31" s="40" t="s">
        <v>776</v>
      </c>
      <c r="B31" s="41"/>
      <c r="C31" s="41"/>
      <c r="D31" s="42"/>
      <c r="E31" s="42"/>
      <c r="F31" s="42"/>
      <c r="G31" s="42"/>
      <c r="H31" s="45"/>
      <c r="I31" s="45"/>
      <c r="J31" s="43"/>
    </row>
    <row r="32" spans="1:10" s="2" customFormat="1" ht="12.75">
      <c r="A32" s="46" t="s">
        <v>781</v>
      </c>
      <c r="B32" s="44">
        <v>265</v>
      </c>
      <c r="C32" s="41">
        <v>265</v>
      </c>
      <c r="D32" s="42">
        <v>66</v>
      </c>
      <c r="E32" s="42">
        <v>66</v>
      </c>
      <c r="F32" s="42">
        <v>66</v>
      </c>
      <c r="G32" s="42">
        <v>67</v>
      </c>
      <c r="H32" s="45">
        <v>0.5</v>
      </c>
      <c r="I32" s="45">
        <v>0.5</v>
      </c>
      <c r="J32" s="43"/>
    </row>
    <row r="33" spans="1:10" s="2" customFormat="1" ht="12.75">
      <c r="A33" s="40" t="s">
        <v>297</v>
      </c>
      <c r="B33" s="41">
        <v>13</v>
      </c>
      <c r="C33" s="41">
        <v>13</v>
      </c>
      <c r="D33" s="42">
        <v>3</v>
      </c>
      <c r="E33" s="42">
        <v>3</v>
      </c>
      <c r="F33" s="42">
        <v>3</v>
      </c>
      <c r="G33" s="42">
        <v>4</v>
      </c>
      <c r="H33" s="45">
        <v>0.5</v>
      </c>
      <c r="I33" s="45">
        <v>0.5</v>
      </c>
      <c r="J33" s="43"/>
    </row>
    <row r="34" spans="1:10" s="2" customFormat="1" ht="12.75">
      <c r="A34" s="40" t="s">
        <v>298</v>
      </c>
      <c r="B34" s="41">
        <v>239</v>
      </c>
      <c r="C34" s="41" t="s">
        <v>759</v>
      </c>
      <c r="D34" s="41" t="s">
        <v>759</v>
      </c>
      <c r="E34" s="41" t="s">
        <v>759</v>
      </c>
      <c r="F34" s="41" t="s">
        <v>759</v>
      </c>
      <c r="G34" s="41" t="s">
        <v>759</v>
      </c>
      <c r="H34" s="45"/>
      <c r="I34" s="45"/>
      <c r="J34" s="43"/>
    </row>
    <row r="35" spans="1:10" s="2" customFormat="1" ht="12.75">
      <c r="A35" s="40" t="s">
        <v>299</v>
      </c>
      <c r="B35" s="41">
        <v>134</v>
      </c>
      <c r="C35" s="41" t="s">
        <v>759</v>
      </c>
      <c r="D35" s="41" t="s">
        <v>759</v>
      </c>
      <c r="E35" s="41" t="s">
        <v>759</v>
      </c>
      <c r="F35" s="41" t="s">
        <v>759</v>
      </c>
      <c r="G35" s="41" t="s">
        <v>759</v>
      </c>
      <c r="H35" s="45"/>
      <c r="I35" s="45"/>
      <c r="J35" s="43"/>
    </row>
    <row r="36" spans="1:10" s="2" customFormat="1" ht="12.75">
      <c r="A36" s="46" t="s">
        <v>300</v>
      </c>
      <c r="B36" s="41"/>
      <c r="C36" s="41"/>
      <c r="D36" s="42"/>
      <c r="E36" s="42"/>
      <c r="F36" s="42"/>
      <c r="G36" s="42"/>
      <c r="H36" s="45"/>
      <c r="I36" s="45"/>
      <c r="J36" s="43"/>
    </row>
    <row r="37" spans="1:10" s="2" customFormat="1" ht="12.75">
      <c r="A37" s="40" t="s">
        <v>298</v>
      </c>
      <c r="B37" s="41">
        <v>291</v>
      </c>
      <c r="C37" s="41">
        <v>291</v>
      </c>
      <c r="D37" s="42">
        <v>73</v>
      </c>
      <c r="E37" s="42">
        <v>73</v>
      </c>
      <c r="F37" s="42">
        <v>73</v>
      </c>
      <c r="G37" s="3">
        <v>72</v>
      </c>
      <c r="H37" s="45">
        <v>0.5</v>
      </c>
      <c r="I37" s="45">
        <v>0.5</v>
      </c>
      <c r="J37" s="43"/>
    </row>
    <row r="38" spans="1:10" s="2" customFormat="1" ht="12.75">
      <c r="A38" s="40" t="s">
        <v>299</v>
      </c>
      <c r="B38" s="41">
        <v>134</v>
      </c>
      <c r="C38" s="41">
        <v>134</v>
      </c>
      <c r="D38" s="42">
        <v>34</v>
      </c>
      <c r="E38" s="42">
        <v>34</v>
      </c>
      <c r="F38" s="42">
        <v>33</v>
      </c>
      <c r="G38" s="3">
        <v>33</v>
      </c>
      <c r="H38" s="45">
        <v>0.5</v>
      </c>
      <c r="I38" s="45">
        <v>0.5</v>
      </c>
      <c r="J38" s="43"/>
    </row>
    <row r="39" spans="1:10" s="2" customFormat="1" ht="38.25" hidden="1">
      <c r="A39" s="47" t="s">
        <v>301</v>
      </c>
      <c r="B39" s="41"/>
      <c r="C39" s="41"/>
      <c r="D39" s="41"/>
      <c r="E39" s="41"/>
      <c r="F39" s="41"/>
      <c r="G39" s="41"/>
      <c r="H39" s="45">
        <f>SUM(H8:H38)</f>
        <v>10.5</v>
      </c>
      <c r="I39" s="45">
        <v>0</v>
      </c>
      <c r="J39" s="43"/>
    </row>
    <row r="40" spans="1:10" s="2" customFormat="1" ht="38.25" hidden="1">
      <c r="A40" s="47" t="s">
        <v>302</v>
      </c>
      <c r="B40" s="41"/>
      <c r="C40" s="41"/>
      <c r="D40" s="41"/>
      <c r="E40" s="41"/>
      <c r="F40" s="41"/>
      <c r="G40" s="41"/>
      <c r="H40" s="45"/>
      <c r="I40" s="45">
        <v>0</v>
      </c>
      <c r="J40" s="43"/>
    </row>
    <row r="41" spans="1:10" s="2" customFormat="1" ht="12.75" hidden="1">
      <c r="A41" s="44" t="s">
        <v>216</v>
      </c>
      <c r="B41" s="41"/>
      <c r="C41" s="41"/>
      <c r="D41" s="41"/>
      <c r="E41" s="41"/>
      <c r="F41" s="41"/>
      <c r="G41" s="41"/>
      <c r="H41" s="45"/>
      <c r="I41" s="45">
        <v>0</v>
      </c>
      <c r="J41" s="43"/>
    </row>
    <row r="42" spans="1:10" s="2" customFormat="1" ht="12.75">
      <c r="A42" s="55" t="s">
        <v>217</v>
      </c>
      <c r="B42" s="56"/>
      <c r="C42" s="56"/>
      <c r="D42" s="56">
        <f>SUM(D7:D41)</f>
        <v>1825</v>
      </c>
      <c r="E42" s="56">
        <f>SUM(E7:E41)</f>
        <v>1825</v>
      </c>
      <c r="F42" s="56">
        <f>SUM(F7:F41)</f>
        <v>1824</v>
      </c>
      <c r="G42" s="56">
        <f>SUM(G7:G41)</f>
        <v>1820</v>
      </c>
      <c r="H42" s="362">
        <v>10.5</v>
      </c>
      <c r="I42" s="362">
        <f>SUM(I7:I41)</f>
        <v>10.5</v>
      </c>
      <c r="J42" s="57"/>
    </row>
    <row r="52" ht="15" hidden="1" customHeight="1"/>
    <row r="53" ht="15" hidden="1" customHeight="1"/>
    <row r="54" ht="15" hidden="1" customHeight="1"/>
  </sheetData>
  <mergeCells count="8">
    <mergeCell ref="J3:J5"/>
    <mergeCell ref="D6:G6"/>
    <mergeCell ref="H3:H5"/>
    <mergeCell ref="B2:D2"/>
    <mergeCell ref="A3:A5"/>
    <mergeCell ref="B3:B5"/>
    <mergeCell ref="C3:C5"/>
    <mergeCell ref="D3:G4"/>
  </mergeCells>
  <pageMargins left="0.7" right="0.7" top="0.75" bottom="0.75" header="0.3" footer="0.3"/>
  <pageSetup scale="74" orientation="portrait" verticalDpi="150" r:id="rId1"/>
</worksheet>
</file>

<file path=xl/worksheets/sheet9.xml><?xml version="1.0" encoding="utf-8"?>
<worksheet xmlns="http://schemas.openxmlformats.org/spreadsheetml/2006/main" xmlns:r="http://schemas.openxmlformats.org/officeDocument/2006/relationships">
  <dimension ref="A1:P16"/>
  <sheetViews>
    <sheetView workbookViewId="0">
      <selection activeCell="B2" sqref="B2:B3"/>
    </sheetView>
  </sheetViews>
  <sheetFormatPr defaultRowHeight="15"/>
  <cols>
    <col min="1" max="1" width="4.7109375" customWidth="1"/>
    <col min="2" max="2" width="25.7109375" customWidth="1"/>
    <col min="3" max="15" width="9.85546875" customWidth="1"/>
    <col min="16" max="16" width="10.85546875" customWidth="1"/>
    <col min="257" max="257" width="4.7109375" customWidth="1"/>
    <col min="258" max="258" width="25.7109375" customWidth="1"/>
    <col min="259" max="271" width="9.85546875" customWidth="1"/>
    <col min="272" max="272" width="10.85546875" customWidth="1"/>
    <col min="513" max="513" width="4.7109375" customWidth="1"/>
    <col min="514" max="514" width="25.7109375" customWidth="1"/>
    <col min="515" max="527" width="9.85546875" customWidth="1"/>
    <col min="528" max="528" width="10.85546875" customWidth="1"/>
    <col min="769" max="769" width="4.7109375" customWidth="1"/>
    <col min="770" max="770" width="25.7109375" customWidth="1"/>
    <col min="771" max="783" width="9.85546875" customWidth="1"/>
    <col min="784" max="784" width="10.85546875" customWidth="1"/>
    <col min="1025" max="1025" width="4.7109375" customWidth="1"/>
    <col min="1026" max="1026" width="25.7109375" customWidth="1"/>
    <col min="1027" max="1039" width="9.85546875" customWidth="1"/>
    <col min="1040" max="1040" width="10.85546875" customWidth="1"/>
    <col min="1281" max="1281" width="4.7109375" customWidth="1"/>
    <col min="1282" max="1282" width="25.7109375" customWidth="1"/>
    <col min="1283" max="1295" width="9.85546875" customWidth="1"/>
    <col min="1296" max="1296" width="10.85546875" customWidth="1"/>
    <col min="1537" max="1537" width="4.7109375" customWidth="1"/>
    <col min="1538" max="1538" width="25.7109375" customWidth="1"/>
    <col min="1539" max="1551" width="9.85546875" customWidth="1"/>
    <col min="1552" max="1552" width="10.85546875" customWidth="1"/>
    <col min="1793" max="1793" width="4.7109375" customWidth="1"/>
    <col min="1794" max="1794" width="25.7109375" customWidth="1"/>
    <col min="1795" max="1807" width="9.85546875" customWidth="1"/>
    <col min="1808" max="1808" width="10.85546875" customWidth="1"/>
    <col min="2049" max="2049" width="4.7109375" customWidth="1"/>
    <col min="2050" max="2050" width="25.7109375" customWidth="1"/>
    <col min="2051" max="2063" width="9.85546875" customWidth="1"/>
    <col min="2064" max="2064" width="10.85546875" customWidth="1"/>
    <col min="2305" max="2305" width="4.7109375" customWidth="1"/>
    <col min="2306" max="2306" width="25.7109375" customWidth="1"/>
    <col min="2307" max="2319" width="9.85546875" customWidth="1"/>
    <col min="2320" max="2320" width="10.85546875" customWidth="1"/>
    <col min="2561" max="2561" width="4.7109375" customWidth="1"/>
    <col min="2562" max="2562" width="25.7109375" customWidth="1"/>
    <col min="2563" max="2575" width="9.85546875" customWidth="1"/>
    <col min="2576" max="2576" width="10.85546875" customWidth="1"/>
    <col min="2817" max="2817" width="4.7109375" customWidth="1"/>
    <col min="2818" max="2818" width="25.7109375" customWidth="1"/>
    <col min="2819" max="2831" width="9.85546875" customWidth="1"/>
    <col min="2832" max="2832" width="10.85546875" customWidth="1"/>
    <col min="3073" max="3073" width="4.7109375" customWidth="1"/>
    <col min="3074" max="3074" width="25.7109375" customWidth="1"/>
    <col min="3075" max="3087" width="9.85546875" customWidth="1"/>
    <col min="3088" max="3088" width="10.85546875" customWidth="1"/>
    <col min="3329" max="3329" width="4.7109375" customWidth="1"/>
    <col min="3330" max="3330" width="25.7109375" customWidth="1"/>
    <col min="3331" max="3343" width="9.85546875" customWidth="1"/>
    <col min="3344" max="3344" width="10.85546875" customWidth="1"/>
    <col min="3585" max="3585" width="4.7109375" customWidth="1"/>
    <col min="3586" max="3586" width="25.7109375" customWidth="1"/>
    <col min="3587" max="3599" width="9.85546875" customWidth="1"/>
    <col min="3600" max="3600" width="10.85546875" customWidth="1"/>
    <col min="3841" max="3841" width="4.7109375" customWidth="1"/>
    <col min="3842" max="3842" width="25.7109375" customWidth="1"/>
    <col min="3843" max="3855" width="9.85546875" customWidth="1"/>
    <col min="3856" max="3856" width="10.85546875" customWidth="1"/>
    <col min="4097" max="4097" width="4.7109375" customWidth="1"/>
    <col min="4098" max="4098" width="25.7109375" customWidth="1"/>
    <col min="4099" max="4111" width="9.85546875" customWidth="1"/>
    <col min="4112" max="4112" width="10.85546875" customWidth="1"/>
    <col min="4353" max="4353" width="4.7109375" customWidth="1"/>
    <col min="4354" max="4354" width="25.7109375" customWidth="1"/>
    <col min="4355" max="4367" width="9.85546875" customWidth="1"/>
    <col min="4368" max="4368" width="10.85546875" customWidth="1"/>
    <col min="4609" max="4609" width="4.7109375" customWidth="1"/>
    <col min="4610" max="4610" width="25.7109375" customWidth="1"/>
    <col min="4611" max="4623" width="9.85546875" customWidth="1"/>
    <col min="4624" max="4624" width="10.85546875" customWidth="1"/>
    <col min="4865" max="4865" width="4.7109375" customWidth="1"/>
    <col min="4866" max="4866" width="25.7109375" customWidth="1"/>
    <col min="4867" max="4879" width="9.85546875" customWidth="1"/>
    <col min="4880" max="4880" width="10.85546875" customWidth="1"/>
    <col min="5121" max="5121" width="4.7109375" customWidth="1"/>
    <col min="5122" max="5122" width="25.7109375" customWidth="1"/>
    <col min="5123" max="5135" width="9.85546875" customWidth="1"/>
    <col min="5136" max="5136" width="10.85546875" customWidth="1"/>
    <col min="5377" max="5377" width="4.7109375" customWidth="1"/>
    <col min="5378" max="5378" width="25.7109375" customWidth="1"/>
    <col min="5379" max="5391" width="9.85546875" customWidth="1"/>
    <col min="5392" max="5392" width="10.85546875" customWidth="1"/>
    <col min="5633" max="5633" width="4.7109375" customWidth="1"/>
    <col min="5634" max="5634" width="25.7109375" customWidth="1"/>
    <col min="5635" max="5647" width="9.85546875" customWidth="1"/>
    <col min="5648" max="5648" width="10.85546875" customWidth="1"/>
    <col min="5889" max="5889" width="4.7109375" customWidth="1"/>
    <col min="5890" max="5890" width="25.7109375" customWidth="1"/>
    <col min="5891" max="5903" width="9.85546875" customWidth="1"/>
    <col min="5904" max="5904" width="10.85546875" customWidth="1"/>
    <col min="6145" max="6145" width="4.7109375" customWidth="1"/>
    <col min="6146" max="6146" width="25.7109375" customWidth="1"/>
    <col min="6147" max="6159" width="9.85546875" customWidth="1"/>
    <col min="6160" max="6160" width="10.85546875" customWidth="1"/>
    <col min="6401" max="6401" width="4.7109375" customWidth="1"/>
    <col min="6402" max="6402" width="25.7109375" customWidth="1"/>
    <col min="6403" max="6415" width="9.85546875" customWidth="1"/>
    <col min="6416" max="6416" width="10.85546875" customWidth="1"/>
    <col min="6657" max="6657" width="4.7109375" customWidth="1"/>
    <col min="6658" max="6658" width="25.7109375" customWidth="1"/>
    <col min="6659" max="6671" width="9.85546875" customWidth="1"/>
    <col min="6672" max="6672" width="10.85546875" customWidth="1"/>
    <col min="6913" max="6913" width="4.7109375" customWidth="1"/>
    <col min="6914" max="6914" width="25.7109375" customWidth="1"/>
    <col min="6915" max="6927" width="9.85546875" customWidth="1"/>
    <col min="6928" max="6928" width="10.85546875" customWidth="1"/>
    <col min="7169" max="7169" width="4.7109375" customWidth="1"/>
    <col min="7170" max="7170" width="25.7109375" customWidth="1"/>
    <col min="7171" max="7183" width="9.85546875" customWidth="1"/>
    <col min="7184" max="7184" width="10.85546875" customWidth="1"/>
    <col min="7425" max="7425" width="4.7109375" customWidth="1"/>
    <col min="7426" max="7426" width="25.7109375" customWidth="1"/>
    <col min="7427" max="7439" width="9.85546875" customWidth="1"/>
    <col min="7440" max="7440" width="10.85546875" customWidth="1"/>
    <col min="7681" max="7681" width="4.7109375" customWidth="1"/>
    <col min="7682" max="7682" width="25.7109375" customWidth="1"/>
    <col min="7683" max="7695" width="9.85546875" customWidth="1"/>
    <col min="7696" max="7696" width="10.85546875" customWidth="1"/>
    <col min="7937" max="7937" width="4.7109375" customWidth="1"/>
    <col min="7938" max="7938" width="25.7109375" customWidth="1"/>
    <col min="7939" max="7951" width="9.85546875" customWidth="1"/>
    <col min="7952" max="7952" width="10.85546875" customWidth="1"/>
    <col min="8193" max="8193" width="4.7109375" customWidth="1"/>
    <col min="8194" max="8194" width="25.7109375" customWidth="1"/>
    <col min="8195" max="8207" width="9.85546875" customWidth="1"/>
    <col min="8208" max="8208" width="10.85546875" customWidth="1"/>
    <col min="8449" max="8449" width="4.7109375" customWidth="1"/>
    <col min="8450" max="8450" width="25.7109375" customWidth="1"/>
    <col min="8451" max="8463" width="9.85546875" customWidth="1"/>
    <col min="8464" max="8464" width="10.85546875" customWidth="1"/>
    <col min="8705" max="8705" width="4.7109375" customWidth="1"/>
    <col min="8706" max="8706" width="25.7109375" customWidth="1"/>
    <col min="8707" max="8719" width="9.85546875" customWidth="1"/>
    <col min="8720" max="8720" width="10.85546875" customWidth="1"/>
    <col min="8961" max="8961" width="4.7109375" customWidth="1"/>
    <col min="8962" max="8962" width="25.7109375" customWidth="1"/>
    <col min="8963" max="8975" width="9.85546875" customWidth="1"/>
    <col min="8976" max="8976" width="10.85546875" customWidth="1"/>
    <col min="9217" max="9217" width="4.7109375" customWidth="1"/>
    <col min="9218" max="9218" width="25.7109375" customWidth="1"/>
    <col min="9219" max="9231" width="9.85546875" customWidth="1"/>
    <col min="9232" max="9232" width="10.85546875" customWidth="1"/>
    <col min="9473" max="9473" width="4.7109375" customWidth="1"/>
    <col min="9474" max="9474" width="25.7109375" customWidth="1"/>
    <col min="9475" max="9487" width="9.85546875" customWidth="1"/>
    <col min="9488" max="9488" width="10.85546875" customWidth="1"/>
    <col min="9729" max="9729" width="4.7109375" customWidth="1"/>
    <col min="9730" max="9730" width="25.7109375" customWidth="1"/>
    <col min="9731" max="9743" width="9.85546875" customWidth="1"/>
    <col min="9744" max="9744" width="10.85546875" customWidth="1"/>
    <col min="9985" max="9985" width="4.7109375" customWidth="1"/>
    <col min="9986" max="9986" width="25.7109375" customWidth="1"/>
    <col min="9987" max="9999" width="9.85546875" customWidth="1"/>
    <col min="10000" max="10000" width="10.85546875" customWidth="1"/>
    <col min="10241" max="10241" width="4.7109375" customWidth="1"/>
    <col min="10242" max="10242" width="25.7109375" customWidth="1"/>
    <col min="10243" max="10255" width="9.85546875" customWidth="1"/>
    <col min="10256" max="10256" width="10.85546875" customWidth="1"/>
    <col min="10497" max="10497" width="4.7109375" customWidth="1"/>
    <col min="10498" max="10498" width="25.7109375" customWidth="1"/>
    <col min="10499" max="10511" width="9.85546875" customWidth="1"/>
    <col min="10512" max="10512" width="10.85546875" customWidth="1"/>
    <col min="10753" max="10753" width="4.7109375" customWidth="1"/>
    <col min="10754" max="10754" width="25.7109375" customWidth="1"/>
    <col min="10755" max="10767" width="9.85546875" customWidth="1"/>
    <col min="10768" max="10768" width="10.85546875" customWidth="1"/>
    <col min="11009" max="11009" width="4.7109375" customWidth="1"/>
    <col min="11010" max="11010" width="25.7109375" customWidth="1"/>
    <col min="11011" max="11023" width="9.85546875" customWidth="1"/>
    <col min="11024" max="11024" width="10.85546875" customWidth="1"/>
    <col min="11265" max="11265" width="4.7109375" customWidth="1"/>
    <col min="11266" max="11266" width="25.7109375" customWidth="1"/>
    <col min="11267" max="11279" width="9.85546875" customWidth="1"/>
    <col min="11280" max="11280" width="10.85546875" customWidth="1"/>
    <col min="11521" max="11521" width="4.7109375" customWidth="1"/>
    <col min="11522" max="11522" width="25.7109375" customWidth="1"/>
    <col min="11523" max="11535" width="9.85546875" customWidth="1"/>
    <col min="11536" max="11536" width="10.85546875" customWidth="1"/>
    <col min="11777" max="11777" width="4.7109375" customWidth="1"/>
    <col min="11778" max="11778" width="25.7109375" customWidth="1"/>
    <col min="11779" max="11791" width="9.85546875" customWidth="1"/>
    <col min="11792" max="11792" width="10.85546875" customWidth="1"/>
    <col min="12033" max="12033" width="4.7109375" customWidth="1"/>
    <col min="12034" max="12034" width="25.7109375" customWidth="1"/>
    <col min="12035" max="12047" width="9.85546875" customWidth="1"/>
    <col min="12048" max="12048" width="10.85546875" customWidth="1"/>
    <col min="12289" max="12289" width="4.7109375" customWidth="1"/>
    <col min="12290" max="12290" width="25.7109375" customWidth="1"/>
    <col min="12291" max="12303" width="9.85546875" customWidth="1"/>
    <col min="12304" max="12304" width="10.85546875" customWidth="1"/>
    <col min="12545" max="12545" width="4.7109375" customWidth="1"/>
    <col min="12546" max="12546" width="25.7109375" customWidth="1"/>
    <col min="12547" max="12559" width="9.85546875" customWidth="1"/>
    <col min="12560" max="12560" width="10.85546875" customWidth="1"/>
    <col min="12801" max="12801" width="4.7109375" customWidth="1"/>
    <col min="12802" max="12802" width="25.7109375" customWidth="1"/>
    <col min="12803" max="12815" width="9.85546875" customWidth="1"/>
    <col min="12816" max="12816" width="10.85546875" customWidth="1"/>
    <col min="13057" max="13057" width="4.7109375" customWidth="1"/>
    <col min="13058" max="13058" width="25.7109375" customWidth="1"/>
    <col min="13059" max="13071" width="9.85546875" customWidth="1"/>
    <col min="13072" max="13072" width="10.85546875" customWidth="1"/>
    <col min="13313" max="13313" width="4.7109375" customWidth="1"/>
    <col min="13314" max="13314" width="25.7109375" customWidth="1"/>
    <col min="13315" max="13327" width="9.85546875" customWidth="1"/>
    <col min="13328" max="13328" width="10.85546875" customWidth="1"/>
    <col min="13569" max="13569" width="4.7109375" customWidth="1"/>
    <col min="13570" max="13570" width="25.7109375" customWidth="1"/>
    <col min="13571" max="13583" width="9.85546875" customWidth="1"/>
    <col min="13584" max="13584" width="10.85546875" customWidth="1"/>
    <col min="13825" max="13825" width="4.7109375" customWidth="1"/>
    <col min="13826" max="13826" width="25.7109375" customWidth="1"/>
    <col min="13827" max="13839" width="9.85546875" customWidth="1"/>
    <col min="13840" max="13840" width="10.85546875" customWidth="1"/>
    <col min="14081" max="14081" width="4.7109375" customWidth="1"/>
    <col min="14082" max="14082" width="25.7109375" customWidth="1"/>
    <col min="14083" max="14095" width="9.85546875" customWidth="1"/>
    <col min="14096" max="14096" width="10.85546875" customWidth="1"/>
    <col min="14337" max="14337" width="4.7109375" customWidth="1"/>
    <col min="14338" max="14338" width="25.7109375" customWidth="1"/>
    <col min="14339" max="14351" width="9.85546875" customWidth="1"/>
    <col min="14352" max="14352" width="10.85546875" customWidth="1"/>
    <col min="14593" max="14593" width="4.7109375" customWidth="1"/>
    <col min="14594" max="14594" width="25.7109375" customWidth="1"/>
    <col min="14595" max="14607" width="9.85546875" customWidth="1"/>
    <col min="14608" max="14608" width="10.85546875" customWidth="1"/>
    <col min="14849" max="14849" width="4.7109375" customWidth="1"/>
    <col min="14850" max="14850" width="25.7109375" customWidth="1"/>
    <col min="14851" max="14863" width="9.85546875" customWidth="1"/>
    <col min="14864" max="14864" width="10.85546875" customWidth="1"/>
    <col min="15105" max="15105" width="4.7109375" customWidth="1"/>
    <col min="15106" max="15106" width="25.7109375" customWidth="1"/>
    <col min="15107" max="15119" width="9.85546875" customWidth="1"/>
    <col min="15120" max="15120" width="10.85546875" customWidth="1"/>
    <col min="15361" max="15361" width="4.7109375" customWidth="1"/>
    <col min="15362" max="15362" width="25.7109375" customWidth="1"/>
    <col min="15363" max="15375" width="9.85546875" customWidth="1"/>
    <col min="15376" max="15376" width="10.85546875" customWidth="1"/>
    <col min="15617" max="15617" width="4.7109375" customWidth="1"/>
    <col min="15618" max="15618" width="25.7109375" customWidth="1"/>
    <col min="15619" max="15631" width="9.85546875" customWidth="1"/>
    <col min="15632" max="15632" width="10.85546875" customWidth="1"/>
    <col min="15873" max="15873" width="4.7109375" customWidth="1"/>
    <col min="15874" max="15874" width="25.7109375" customWidth="1"/>
    <col min="15875" max="15887" width="9.85546875" customWidth="1"/>
    <col min="15888" max="15888" width="10.85546875" customWidth="1"/>
    <col min="16129" max="16129" width="4.7109375" customWidth="1"/>
    <col min="16130" max="16130" width="25.7109375" customWidth="1"/>
    <col min="16131" max="16143" width="9.85546875" customWidth="1"/>
    <col min="16144" max="16144" width="10.85546875" customWidth="1"/>
  </cols>
  <sheetData>
    <row r="1" spans="1:16" ht="23.25">
      <c r="A1" s="431" t="s">
        <v>718</v>
      </c>
      <c r="B1" s="431"/>
      <c r="C1" s="431"/>
      <c r="D1" s="431"/>
      <c r="E1" s="431"/>
      <c r="F1" s="431"/>
      <c r="G1" s="431"/>
      <c r="H1" s="431"/>
      <c r="J1" s="1" t="s">
        <v>719</v>
      </c>
      <c r="K1" s="1" t="s">
        <v>720</v>
      </c>
    </row>
    <row r="2" spans="1:16" ht="15.75">
      <c r="A2" s="432" t="s">
        <v>721</v>
      </c>
      <c r="B2" s="433" t="s">
        <v>722</v>
      </c>
      <c r="C2" s="434" t="s">
        <v>723</v>
      </c>
      <c r="D2" s="434"/>
      <c r="E2" s="434"/>
      <c r="F2" s="434"/>
      <c r="G2" s="434"/>
      <c r="H2" s="434"/>
      <c r="I2" s="434"/>
      <c r="J2" s="434"/>
      <c r="K2" s="434"/>
      <c r="L2" s="434"/>
      <c r="M2" s="434"/>
      <c r="N2" s="434"/>
      <c r="O2" s="434"/>
      <c r="P2" s="434"/>
    </row>
    <row r="3" spans="1:16" s="20" customFormat="1" ht="30">
      <c r="A3" s="432"/>
      <c r="B3" s="433"/>
      <c r="C3" s="326" t="s">
        <v>703</v>
      </c>
      <c r="D3" s="326" t="s">
        <v>704</v>
      </c>
      <c r="E3" s="326" t="s">
        <v>706</v>
      </c>
      <c r="F3" s="326" t="s">
        <v>707</v>
      </c>
      <c r="G3" s="326" t="s">
        <v>708</v>
      </c>
      <c r="H3" s="326" t="s">
        <v>709</v>
      </c>
      <c r="I3" s="327" t="s">
        <v>710</v>
      </c>
      <c r="J3" s="327" t="s">
        <v>711</v>
      </c>
      <c r="K3" s="327" t="s">
        <v>712</v>
      </c>
      <c r="L3" s="327" t="s">
        <v>713</v>
      </c>
      <c r="M3" s="327" t="s">
        <v>714</v>
      </c>
      <c r="N3" s="327" t="s">
        <v>715</v>
      </c>
      <c r="O3" s="327" t="s">
        <v>716</v>
      </c>
      <c r="P3" s="327" t="s">
        <v>18</v>
      </c>
    </row>
    <row r="4" spans="1:16" ht="52.9" customHeight="1">
      <c r="A4" s="329">
        <v>1</v>
      </c>
      <c r="B4" s="330" t="s">
        <v>219</v>
      </c>
      <c r="C4" s="328">
        <f>21030/3</f>
        <v>7010</v>
      </c>
      <c r="D4" s="328">
        <f>4665+680</f>
        <v>5345</v>
      </c>
      <c r="E4" s="328">
        <f>14730/3</f>
        <v>4910</v>
      </c>
      <c r="F4" s="328">
        <v>10500</v>
      </c>
      <c r="G4" s="328">
        <v>8255</v>
      </c>
      <c r="H4" s="328">
        <v>7550</v>
      </c>
      <c r="I4" s="328">
        <v>8000</v>
      </c>
      <c r="J4" s="328">
        <v>5055</v>
      </c>
      <c r="K4" s="328">
        <v>8900</v>
      </c>
      <c r="L4" s="328">
        <v>6900</v>
      </c>
      <c r="M4" s="328">
        <v>10000</v>
      </c>
      <c r="N4" s="328">
        <v>7500</v>
      </c>
      <c r="O4" s="328">
        <v>10000</v>
      </c>
      <c r="P4" s="54">
        <f t="shared" ref="P4:P9" si="0">SUM(C4:O4)</f>
        <v>99925</v>
      </c>
    </row>
    <row r="5" spans="1:16" ht="52.9" customHeight="1">
      <c r="A5" s="329">
        <v>2</v>
      </c>
      <c r="B5" s="330" t="s">
        <v>220</v>
      </c>
      <c r="C5" s="328">
        <v>7010</v>
      </c>
      <c r="D5" s="328">
        <v>10000</v>
      </c>
      <c r="E5" s="328">
        <f>14730/2</f>
        <v>7365</v>
      </c>
      <c r="F5" s="328">
        <v>10500</v>
      </c>
      <c r="G5" s="328">
        <v>8255</v>
      </c>
      <c r="H5" s="328">
        <f>9500</f>
        <v>9500</v>
      </c>
      <c r="I5" s="328">
        <v>8000</v>
      </c>
      <c r="J5" s="328">
        <f>15170/2</f>
        <v>7585</v>
      </c>
      <c r="K5" s="328">
        <v>8900</v>
      </c>
      <c r="L5" s="328">
        <v>6900</v>
      </c>
      <c r="M5" s="328">
        <v>9500</v>
      </c>
      <c r="N5" s="328">
        <v>7500</v>
      </c>
      <c r="O5" s="328">
        <v>9000</v>
      </c>
      <c r="P5" s="54">
        <f t="shared" si="0"/>
        <v>110015</v>
      </c>
    </row>
    <row r="6" spans="1:16" ht="52.9" customHeight="1">
      <c r="A6" s="329">
        <v>3</v>
      </c>
      <c r="B6" s="330" t="s">
        <v>221</v>
      </c>
      <c r="C6" s="328">
        <v>7010</v>
      </c>
      <c r="D6" s="328">
        <v>10000</v>
      </c>
      <c r="E6" s="328">
        <f>14730/2</f>
        <v>7365</v>
      </c>
      <c r="F6" s="328">
        <v>10500</v>
      </c>
      <c r="G6" s="328">
        <v>8255</v>
      </c>
      <c r="H6" s="328">
        <f>9500</f>
        <v>9500</v>
      </c>
      <c r="I6" s="328">
        <v>8000</v>
      </c>
      <c r="J6" s="328">
        <f>15170/2</f>
        <v>7585</v>
      </c>
      <c r="K6" s="328">
        <v>8900</v>
      </c>
      <c r="L6" s="328">
        <v>6900</v>
      </c>
      <c r="M6" s="328">
        <v>9500</v>
      </c>
      <c r="N6" s="328">
        <v>7500</v>
      </c>
      <c r="O6" s="328">
        <v>9000</v>
      </c>
      <c r="P6" s="54">
        <f t="shared" si="0"/>
        <v>110015</v>
      </c>
    </row>
    <row r="7" spans="1:16" ht="52.9" customHeight="1">
      <c r="A7" s="329">
        <v>4</v>
      </c>
      <c r="B7" s="330" t="s">
        <v>222</v>
      </c>
      <c r="C7" s="328">
        <v>7010</v>
      </c>
      <c r="D7" s="328">
        <v>10000</v>
      </c>
      <c r="E7" s="328">
        <f>14730/2</f>
        <v>7365</v>
      </c>
      <c r="F7" s="328">
        <v>10500</v>
      </c>
      <c r="G7" s="328">
        <v>8255</v>
      </c>
      <c r="H7" s="328">
        <f>9500</f>
        <v>9500</v>
      </c>
      <c r="I7" s="328">
        <v>8000</v>
      </c>
      <c r="J7" s="328">
        <f>15170/2</f>
        <v>7585</v>
      </c>
      <c r="K7" s="328">
        <v>8900</v>
      </c>
      <c r="L7" s="328">
        <v>6900</v>
      </c>
      <c r="M7" s="328">
        <v>9500</v>
      </c>
      <c r="N7" s="328">
        <v>7500</v>
      </c>
      <c r="O7" s="328">
        <v>9000</v>
      </c>
      <c r="P7" s="54">
        <f t="shared" si="0"/>
        <v>110015</v>
      </c>
    </row>
    <row r="8" spans="1:16" ht="52.9" customHeight="1">
      <c r="A8" s="329">
        <v>5</v>
      </c>
      <c r="B8" s="330" t="s">
        <v>223</v>
      </c>
      <c r="C8" s="328">
        <v>7010</v>
      </c>
      <c r="D8" s="328">
        <v>10000</v>
      </c>
      <c r="E8" s="328">
        <f>14730/2</f>
        <v>7365</v>
      </c>
      <c r="F8" s="328">
        <v>10500</v>
      </c>
      <c r="G8" s="328">
        <v>8255</v>
      </c>
      <c r="H8" s="328">
        <f>9500</f>
        <v>9500</v>
      </c>
      <c r="I8" s="328">
        <v>8000</v>
      </c>
      <c r="J8" s="328">
        <f>15170/2</f>
        <v>7585</v>
      </c>
      <c r="K8" s="328">
        <v>8900</v>
      </c>
      <c r="L8" s="328">
        <v>6900</v>
      </c>
      <c r="M8" s="328">
        <v>9500</v>
      </c>
      <c r="N8" s="328">
        <v>7500</v>
      </c>
      <c r="O8" s="328">
        <v>9000</v>
      </c>
      <c r="P8" s="54">
        <f t="shared" si="0"/>
        <v>110015</v>
      </c>
    </row>
    <row r="9" spans="1:16" ht="52.9" customHeight="1">
      <c r="A9" s="329">
        <v>6</v>
      </c>
      <c r="B9" s="330" t="s">
        <v>150</v>
      </c>
      <c r="C9" s="328">
        <v>7010</v>
      </c>
      <c r="D9" s="328">
        <v>10000</v>
      </c>
      <c r="E9" s="328">
        <f>14730/2</f>
        <v>7365</v>
      </c>
      <c r="F9" s="328">
        <v>10500</v>
      </c>
      <c r="G9" s="328">
        <v>8255</v>
      </c>
      <c r="H9" s="328">
        <f>9500</f>
        <v>9500</v>
      </c>
      <c r="I9" s="328">
        <v>8000</v>
      </c>
      <c r="J9" s="328">
        <f>15170/2</f>
        <v>7585</v>
      </c>
      <c r="K9" s="328">
        <v>8900</v>
      </c>
      <c r="L9" s="328">
        <v>6900</v>
      </c>
      <c r="M9" s="328">
        <v>9500</v>
      </c>
      <c r="N9" s="328">
        <v>7500</v>
      </c>
      <c r="O9" s="328">
        <v>9000</v>
      </c>
      <c r="P9" s="54">
        <f t="shared" si="0"/>
        <v>110015</v>
      </c>
    </row>
    <row r="10" spans="1:16" s="53" customFormat="1">
      <c r="A10" s="4"/>
      <c r="B10" s="331" t="s">
        <v>18</v>
      </c>
      <c r="C10" s="210">
        <f t="shared" ref="C10:P10" si="1">SUM(C4:C9)</f>
        <v>42060</v>
      </c>
      <c r="D10" s="210">
        <f t="shared" si="1"/>
        <v>55345</v>
      </c>
      <c r="E10" s="210">
        <f t="shared" si="1"/>
        <v>41735</v>
      </c>
      <c r="F10" s="210">
        <f t="shared" si="1"/>
        <v>63000</v>
      </c>
      <c r="G10" s="210">
        <f t="shared" si="1"/>
        <v>49530</v>
      </c>
      <c r="H10" s="210">
        <f t="shared" si="1"/>
        <v>55050</v>
      </c>
      <c r="I10" s="210">
        <f t="shared" si="1"/>
        <v>48000</v>
      </c>
      <c r="J10" s="210">
        <f t="shared" si="1"/>
        <v>42980</v>
      </c>
      <c r="K10" s="210">
        <f t="shared" si="1"/>
        <v>53400</v>
      </c>
      <c r="L10" s="210">
        <f t="shared" si="1"/>
        <v>41400</v>
      </c>
      <c r="M10" s="210">
        <f t="shared" si="1"/>
        <v>57500</v>
      </c>
      <c r="N10" s="210">
        <f t="shared" si="1"/>
        <v>45000</v>
      </c>
      <c r="O10" s="210">
        <f t="shared" si="1"/>
        <v>55000</v>
      </c>
      <c r="P10" s="338">
        <f t="shared" si="1"/>
        <v>650000</v>
      </c>
    </row>
    <row r="11" spans="1:16">
      <c r="A11" s="12"/>
      <c r="B11" s="332"/>
      <c r="L11" s="333"/>
    </row>
    <row r="12" spans="1:16" ht="15.75">
      <c r="A12" s="334" t="s">
        <v>724</v>
      </c>
      <c r="L12" s="333"/>
    </row>
    <row r="13" spans="1:16" ht="15.75">
      <c r="A13" s="334" t="s">
        <v>725</v>
      </c>
      <c r="L13" s="333"/>
      <c r="P13" s="335"/>
    </row>
    <row r="14" spans="1:16" ht="15.75">
      <c r="A14" s="334" t="s">
        <v>726</v>
      </c>
      <c r="L14" s="333"/>
    </row>
    <row r="15" spans="1:16" ht="15.75">
      <c r="A15" s="334" t="s">
        <v>727</v>
      </c>
      <c r="L15" s="333"/>
    </row>
    <row r="16" spans="1:16" ht="15.75">
      <c r="A16" s="334"/>
      <c r="L16" s="333"/>
    </row>
  </sheetData>
  <mergeCells count="4">
    <mergeCell ref="A1:H1"/>
    <mergeCell ref="A2:A3"/>
    <mergeCell ref="B2:B3"/>
    <mergeCell ref="C2:P2"/>
  </mergeCells>
  <pageMargins left="0.70866141732283472" right="0.70866141732283472" top="0.74803149606299213" bottom="0.74803149606299213" header="0.31496062992125984" footer="0.31496062992125984"/>
  <pageSetup paperSize="5" scale="90" orientation="landscape" horizontalDpi="150" verticalDpi="15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3</vt:i4>
      </vt:variant>
    </vt:vector>
  </HeadingPairs>
  <TitlesOfParts>
    <vt:vector size="13" baseType="lpstr">
      <vt:lpstr>Budget Sheet</vt:lpstr>
      <vt:lpstr>HR</vt:lpstr>
      <vt:lpstr>Abstract</vt:lpstr>
      <vt:lpstr>SOE for Last 3 Years</vt:lpstr>
      <vt:lpstr>Planned Activities FY 2021-22</vt:lpstr>
      <vt:lpstr>Organisation of Services</vt:lpstr>
      <vt:lpstr>PPM Annexure</vt:lpstr>
      <vt:lpstr>Training Plan</vt:lpstr>
      <vt:lpstr>ACF</vt:lpstr>
      <vt:lpstr>ACSM Plan</vt:lpstr>
      <vt:lpstr>'Budget Sheet'!Print_Titles</vt:lpstr>
      <vt:lpstr>HR!Print_Titles</vt:lpstr>
      <vt:lpstr>'Organisation of Services'!Print_Titles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Tushar Nale</dc:creator>
  <cp:lastModifiedBy>SURESH</cp:lastModifiedBy>
  <cp:lastPrinted>2020-12-10T05:39:51Z</cp:lastPrinted>
  <dcterms:created xsi:type="dcterms:W3CDTF">2017-12-15T05:14:56Z</dcterms:created>
  <dcterms:modified xsi:type="dcterms:W3CDTF">2020-12-15T05:58:39Z</dcterms:modified>
</cp:coreProperties>
</file>